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ubchenko.anna\Desktop\525\ДЕР\Лікарні\"/>
    </mc:Choice>
  </mc:AlternateContent>
  <bookViews>
    <workbookView xWindow="0" yWindow="0" windowWidth="28800" windowHeight="11835" tabRatio="823" activeTab="1"/>
  </bookViews>
  <sheets>
    <sheet name="зміни" sheetId="22" r:id="rId1"/>
    <sheet name="Фінплан - зведені показники" sheetId="14" r:id="rId2"/>
    <sheet name="1.Фінансовий результат" sheetId="2" r:id="rId3"/>
    <sheet name="2. Розрахунки з бюджетом" sheetId="19" r:id="rId4"/>
    <sheet name="3. Рух грошових коштів" sheetId="18" r:id="rId5"/>
    <sheet name="4. Кап. інвестиції" sheetId="3" r:id="rId6"/>
    <sheet name="5. Інша інформація" sheetId="10" r:id="rId7"/>
    <sheet name="Лист1" sheetId="20" r:id="rId8"/>
    <sheet name="Лист2" sheetId="2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_123Graph_XGRAPH3" localSheetId="0" hidden="1">[1]GDP!#REF!</definedName>
    <definedName name="__123Graph_XGRAPH3" hidden="1">[1]GDP!#REF!</definedName>
    <definedName name="_xlnm._FilterDatabase" localSheetId="0" hidden="1">зміни!$A$3:$N$118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 localSheetId="0">[14]Лист1!$A$1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 localSheetId="0">'[18]7  Інші витрати'!#REF!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[15]!ShowFil</definedName>
    <definedName name="SU_ID" localSheetId="0">#REF!</definedName>
    <definedName name="SU_ID">#REF!</definedName>
    <definedName name="Time_ID">'[17]МТР Газ України'!$B$1</definedName>
    <definedName name="Time_ID_10" localSheetId="0">'[18]7  Інші витрати'!#REF!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 localSheetId="0">'[18]7  Інші витрати'!#REF!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'[25]МТР Газ України'!$B$4</definedName>
    <definedName name="wr">'[25]МТР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 localSheetId="0">'[28]БАЗА  '!#REF!</definedName>
    <definedName name="ватт">'[28]БАЗА  '!#REF!</definedName>
    <definedName name="Д">'[16]МТР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2">'1.Фінансовий результат'!$8:$8</definedName>
    <definedName name="_xlnm.Print_Titles" localSheetId="3">'2. Розрахунки з бюджетом'!$8:$8</definedName>
    <definedName name="_xlnm.Print_Titles" localSheetId="4">'3. Рух грошових коштів'!$7:$7</definedName>
    <definedName name="_xlnm.Print_Titles" localSheetId="0">зміни!$5:$5</definedName>
    <definedName name="_xlnm.Print_Titles" localSheetId="1">'Фінплан - зведені показники'!$14:$14</definedName>
    <definedName name="Заголовки_для_печати_МИ">'[29]1993'!$A$1:$IV$3,'[29]1993'!$A$1:$A$65536</definedName>
    <definedName name="і">[31]Inform!$F$2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'[30]7  Інші витрати'!#REF!</definedName>
    <definedName name="іваіа">'[30]7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[24]Inform!$G$2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'[30]7  Інші витрати'!#REF!</definedName>
    <definedName name="йцукц">'[30]7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2">'1.Фінансовий результат'!$A$1:$J$164</definedName>
    <definedName name="_xlnm.Print_Area" localSheetId="3">'2. Розрахунки з бюджетом'!$A$4:$J$39</definedName>
    <definedName name="_xlnm.Print_Area" localSheetId="5">'4. Кап. інвестиції'!$A$1:$J$20</definedName>
    <definedName name="_xlnm.Print_Area" localSheetId="6">'5. Інша інформація'!$A$1:$AC$135</definedName>
    <definedName name="_xlnm.Print_Area" localSheetId="0">зміни!$A$1:$P$134</definedName>
    <definedName name="_xlnm.Print_Area" localSheetId="1">'Фінплан - зведені показники'!$A$1:$J$52</definedName>
    <definedName name="п" localSheetId="0">'[13]7  Інші витрати'!#REF!</definedName>
    <definedName name="п">'[13]7  Інші витрати'!#REF!</definedName>
    <definedName name="пдв">'[16]МТР Газ України'!$B$4</definedName>
    <definedName name="пдв_утг">'[16]МТР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 localSheetId="0">#REF!</definedName>
    <definedName name="р">#REF!</definedName>
    <definedName name="т">[33]Inform!$E$6</definedName>
    <definedName name="тариф">[34]Inform!$G$2</definedName>
    <definedName name="уйцукйцуйу" localSheetId="0">#REF!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 localSheetId="0">'[30]7  Інші витрати'!#REF!</definedName>
    <definedName name="фіваіф">'[30]7  Інші витрати'!#REF!</definedName>
    <definedName name="фф">'[27]МТР Газ України'!$F$1</definedName>
    <definedName name="ц" localSheetId="0">'[13]7  Інші витрати'!#REF!</definedName>
    <definedName name="ц">'[13]7  Інші витрати'!#REF!</definedName>
    <definedName name="ччч" localSheetId="0">'[36]БАЗА  '!#REF!</definedName>
    <definedName name="ччч">'[36]БАЗА  '!#REF!</definedName>
    <definedName name="ш" localSheetId="0">#REF!</definedName>
    <definedName name="ш">#REF!</definedName>
  </definedNames>
  <calcPr calcId="152511" refMode="R1C1"/>
</workbook>
</file>

<file path=xl/calcChain.xml><?xml version="1.0" encoding="utf-8"?>
<calcChain xmlns="http://schemas.openxmlformats.org/spreadsheetml/2006/main">
  <c r="K139" i="2" l="1"/>
  <c r="L139" i="2"/>
  <c r="M139" i="2"/>
  <c r="N139" i="2"/>
  <c r="O139" i="2"/>
  <c r="P139" i="2"/>
  <c r="Q139" i="2"/>
  <c r="J47" i="2"/>
  <c r="I47" i="2"/>
  <c r="E21" i="10" l="1"/>
  <c r="E20" i="10"/>
  <c r="I38" i="2" l="1"/>
  <c r="J38" i="2"/>
  <c r="I37" i="2" l="1"/>
  <c r="H154" i="2"/>
  <c r="I154" i="2"/>
  <c r="X120" i="10" l="1"/>
  <c r="W120" i="10"/>
  <c r="V120" i="10"/>
  <c r="U120" i="10"/>
  <c r="S120" i="10"/>
  <c r="R120" i="10"/>
  <c r="Q120" i="10"/>
  <c r="P120" i="10"/>
  <c r="N120" i="10"/>
  <c r="K120" i="10"/>
  <c r="AC119" i="10"/>
  <c r="AB119" i="10"/>
  <c r="AA119" i="10"/>
  <c r="Z119" i="10"/>
  <c r="T119" i="10"/>
  <c r="O119" i="10"/>
  <c r="J119" i="10"/>
  <c r="E119" i="10"/>
  <c r="AC118" i="10"/>
  <c r="AB118" i="10"/>
  <c r="AA118" i="10"/>
  <c r="Z118" i="10"/>
  <c r="T118" i="10"/>
  <c r="O118" i="10"/>
  <c r="J118" i="10"/>
  <c r="E118" i="10"/>
  <c r="AC117" i="10"/>
  <c r="AB117" i="10"/>
  <c r="AA117" i="10"/>
  <c r="Z117" i="10"/>
  <c r="T117" i="10"/>
  <c r="O117" i="10"/>
  <c r="J117" i="10"/>
  <c r="E117" i="10"/>
  <c r="AC116" i="10"/>
  <c r="Z116" i="10"/>
  <c r="T116" i="10"/>
  <c r="O116" i="10"/>
  <c r="O120" i="10" s="1"/>
  <c r="M116" i="10"/>
  <c r="AB116" i="10" s="1"/>
  <c r="L116" i="10"/>
  <c r="L120" i="10" s="1"/>
  <c r="E116" i="10"/>
  <c r="H106" i="10"/>
  <c r="H105" i="10"/>
  <c r="H104" i="10"/>
  <c r="H103" i="10"/>
  <c r="G94" i="10"/>
  <c r="G93" i="10"/>
  <c r="G92" i="10"/>
  <c r="G91" i="10"/>
  <c r="J58" i="10"/>
  <c r="C48" i="10" s="1"/>
  <c r="F58" i="10"/>
  <c r="D58" i="10"/>
  <c r="J48" i="10"/>
  <c r="H48" i="10"/>
  <c r="H59" i="10" s="1"/>
  <c r="F48" i="10"/>
  <c r="D48" i="10"/>
  <c r="J47" i="10"/>
  <c r="F47" i="10"/>
  <c r="D47" i="10"/>
  <c r="D59" i="10" s="1"/>
  <c r="J43" i="10"/>
  <c r="F43" i="10"/>
  <c r="F59" i="10" s="1"/>
  <c r="D43" i="10"/>
  <c r="J42" i="10"/>
  <c r="H33" i="10"/>
  <c r="F33" i="10"/>
  <c r="H32" i="10"/>
  <c r="F32" i="10"/>
  <c r="H31" i="10"/>
  <c r="F31" i="10"/>
  <c r="E30" i="10"/>
  <c r="H30" i="10" s="1"/>
  <c r="D30" i="10"/>
  <c r="F30" i="10" s="1"/>
  <c r="C30" i="10"/>
  <c r="E29" i="10"/>
  <c r="F29" i="10" s="1"/>
  <c r="D29" i="10"/>
  <c r="E28" i="10"/>
  <c r="D28" i="10"/>
  <c r="B28" i="10"/>
  <c r="E27" i="10"/>
  <c r="D27" i="10"/>
  <c r="C27" i="10"/>
  <c r="B27" i="10"/>
  <c r="F25" i="10"/>
  <c r="H25" i="10"/>
  <c r="H24" i="10"/>
  <c r="F24" i="10"/>
  <c r="H23" i="10"/>
  <c r="F23" i="10"/>
  <c r="E22" i="10"/>
  <c r="D22" i="10"/>
  <c r="C22" i="10"/>
  <c r="B22" i="10"/>
  <c r="F21" i="10"/>
  <c r="B21" i="10"/>
  <c r="B29" i="10" s="1"/>
  <c r="H20" i="10"/>
  <c r="F20" i="10"/>
  <c r="H19" i="10"/>
  <c r="F19" i="10"/>
  <c r="E18" i="10"/>
  <c r="D18" i="10"/>
  <c r="C18" i="10"/>
  <c r="B18" i="10"/>
  <c r="H17" i="10"/>
  <c r="F17" i="10"/>
  <c r="H16" i="10"/>
  <c r="F16" i="10"/>
  <c r="H15" i="10"/>
  <c r="F15" i="10"/>
  <c r="H14" i="10"/>
  <c r="F14" i="10"/>
  <c r="H13" i="10"/>
  <c r="F13" i="10"/>
  <c r="H12" i="10"/>
  <c r="F12" i="10"/>
  <c r="E11" i="10"/>
  <c r="D11" i="10"/>
  <c r="F11" i="10" s="1"/>
  <c r="C11" i="10"/>
  <c r="B11" i="10"/>
  <c r="F158" i="2"/>
  <c r="C158" i="2"/>
  <c r="J157" i="2"/>
  <c r="I157" i="2"/>
  <c r="H157" i="2"/>
  <c r="G157" i="2"/>
  <c r="F157" i="2" s="1"/>
  <c r="E157" i="2"/>
  <c r="D157" i="2"/>
  <c r="J156" i="2"/>
  <c r="G156" i="2"/>
  <c r="H155" i="2"/>
  <c r="G155" i="2"/>
  <c r="G153" i="2"/>
  <c r="F153" i="2" s="1"/>
  <c r="E153" i="2"/>
  <c r="F143" i="2"/>
  <c r="F142" i="2"/>
  <c r="F141" i="2"/>
  <c r="F140" i="2"/>
  <c r="F138" i="2"/>
  <c r="F137" i="2"/>
  <c r="F136" i="2"/>
  <c r="F135" i="2"/>
  <c r="F134" i="2"/>
  <c r="F133" i="2"/>
  <c r="F132" i="2"/>
  <c r="F131" i="2"/>
  <c r="F130" i="2"/>
  <c r="F128" i="2" s="1"/>
  <c r="F127" i="2" s="1"/>
  <c r="J128" i="2"/>
  <c r="I128" i="2"/>
  <c r="H128" i="2"/>
  <c r="G128" i="2"/>
  <c r="E128" i="2"/>
  <c r="D128" i="2"/>
  <c r="C128" i="2"/>
  <c r="J127" i="2"/>
  <c r="I127" i="2"/>
  <c r="H127" i="2"/>
  <c r="G127" i="2"/>
  <c r="E127" i="2"/>
  <c r="D127" i="2"/>
  <c r="C127" i="2"/>
  <c r="F126" i="2"/>
  <c r="F125" i="2"/>
  <c r="F124" i="2"/>
  <c r="F123" i="2"/>
  <c r="J122" i="2"/>
  <c r="I122" i="2"/>
  <c r="H122" i="2"/>
  <c r="G122" i="2"/>
  <c r="E122" i="2"/>
  <c r="D122" i="2"/>
  <c r="C122" i="2"/>
  <c r="J119" i="2"/>
  <c r="J113" i="2" s="1"/>
  <c r="I119" i="2"/>
  <c r="H119" i="2"/>
  <c r="G119" i="2"/>
  <c r="F119" i="2" s="1"/>
  <c r="E119" i="2"/>
  <c r="F118" i="2"/>
  <c r="F117" i="2"/>
  <c r="F116" i="2"/>
  <c r="F115" i="2"/>
  <c r="F114" i="2"/>
  <c r="I113" i="2"/>
  <c r="E113" i="2"/>
  <c r="D113" i="2"/>
  <c r="C113" i="2"/>
  <c r="F112" i="2"/>
  <c r="F111" i="2"/>
  <c r="F110" i="2"/>
  <c r="F109" i="2"/>
  <c r="F108" i="2"/>
  <c r="F107" i="2"/>
  <c r="F105" i="2" s="1"/>
  <c r="F104" i="2" s="1"/>
  <c r="J105" i="2"/>
  <c r="I105" i="2"/>
  <c r="I104" i="2" s="1"/>
  <c r="I82" i="2" s="1"/>
  <c r="H105" i="2"/>
  <c r="G105" i="2"/>
  <c r="E105" i="2"/>
  <c r="D105" i="2"/>
  <c r="C105" i="2"/>
  <c r="J104" i="2"/>
  <c r="J82" i="2" s="1"/>
  <c r="H104" i="2"/>
  <c r="H82" i="2" s="1"/>
  <c r="G104" i="2"/>
  <c r="G82" i="2" s="1"/>
  <c r="E104" i="2"/>
  <c r="E82" i="2" s="1"/>
  <c r="D104" i="2"/>
  <c r="D82" i="2" s="1"/>
  <c r="C104" i="2"/>
  <c r="C82" i="2" s="1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1" i="2"/>
  <c r="F80" i="2"/>
  <c r="C80" i="2"/>
  <c r="C77" i="2" s="1"/>
  <c r="F79" i="2"/>
  <c r="F78" i="2"/>
  <c r="J77" i="2"/>
  <c r="J30" i="2" s="1"/>
  <c r="I77" i="2"/>
  <c r="I30" i="2" s="1"/>
  <c r="H77" i="2"/>
  <c r="G77" i="2"/>
  <c r="G30" i="2" s="1"/>
  <c r="E77" i="2"/>
  <c r="D77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J60" i="2"/>
  <c r="I60" i="2"/>
  <c r="F60" i="2" s="1"/>
  <c r="F59" i="2"/>
  <c r="F58" i="2"/>
  <c r="F57" i="2"/>
  <c r="J56" i="2"/>
  <c r="F56" i="2" s="1"/>
  <c r="F55" i="2"/>
  <c r="F54" i="2"/>
  <c r="E54" i="2"/>
  <c r="E48" i="2" s="1"/>
  <c r="F53" i="2"/>
  <c r="C53" i="2"/>
  <c r="F52" i="2"/>
  <c r="F51" i="2"/>
  <c r="F50" i="2"/>
  <c r="C50" i="2"/>
  <c r="H48" i="2"/>
  <c r="H42" i="2" s="1"/>
  <c r="H34" i="2" s="1"/>
  <c r="G48" i="2"/>
  <c r="D48" i="2"/>
  <c r="C48" i="2"/>
  <c r="F47" i="2"/>
  <c r="C47" i="2"/>
  <c r="J46" i="2"/>
  <c r="F46" i="2"/>
  <c r="E46" i="2"/>
  <c r="C46" i="2"/>
  <c r="J45" i="2"/>
  <c r="F45" i="2"/>
  <c r="F43" i="2" s="1"/>
  <c r="E45" i="2"/>
  <c r="E43" i="2" s="1"/>
  <c r="C45" i="2"/>
  <c r="C43" i="2" s="1"/>
  <c r="C42" i="2" s="1"/>
  <c r="C34" i="2" s="1"/>
  <c r="K34" i="2" s="1"/>
  <c r="J43" i="2"/>
  <c r="I43" i="2"/>
  <c r="I152" i="2" s="1"/>
  <c r="H43" i="2"/>
  <c r="H152" i="2" s="1"/>
  <c r="G43" i="2"/>
  <c r="D43" i="2"/>
  <c r="D154" i="2" s="1"/>
  <c r="D152" i="2" s="1"/>
  <c r="G42" i="2"/>
  <c r="F41" i="2"/>
  <c r="C41" i="2"/>
  <c r="C157" i="2" s="1"/>
  <c r="I40" i="2"/>
  <c r="F40" i="2"/>
  <c r="C40" i="2"/>
  <c r="I39" i="2"/>
  <c r="I156" i="2" s="1"/>
  <c r="E39" i="2"/>
  <c r="E156" i="2" s="1"/>
  <c r="D39" i="2"/>
  <c r="D156" i="2" s="1"/>
  <c r="C39" i="2"/>
  <c r="C156" i="2" s="1"/>
  <c r="J155" i="2"/>
  <c r="I155" i="2"/>
  <c r="E38" i="2"/>
  <c r="E155" i="2" s="1"/>
  <c r="M156" i="2" s="1"/>
  <c r="D38" i="2"/>
  <c r="D155" i="2" s="1"/>
  <c r="C38" i="2"/>
  <c r="C155" i="2" s="1"/>
  <c r="K156" i="2" s="1"/>
  <c r="J37" i="2"/>
  <c r="F37" i="2"/>
  <c r="E37" i="2"/>
  <c r="C37" i="2"/>
  <c r="F36" i="2"/>
  <c r="J35" i="2"/>
  <c r="F35" i="2" s="1"/>
  <c r="I35" i="2"/>
  <c r="C35" i="2"/>
  <c r="C153" i="2" s="1"/>
  <c r="G34" i="2"/>
  <c r="F32" i="2"/>
  <c r="F31" i="2"/>
  <c r="J29" i="2"/>
  <c r="F29" i="2" s="1"/>
  <c r="C29" i="2"/>
  <c r="C14" i="2" s="1"/>
  <c r="F28" i="2"/>
  <c r="F27" i="2"/>
  <c r="F26" i="2"/>
  <c r="F25" i="2"/>
  <c r="F24" i="2"/>
  <c r="C24" i="2"/>
  <c r="F23" i="2"/>
  <c r="F22" i="2"/>
  <c r="F21" i="2"/>
  <c r="F20" i="2"/>
  <c r="F19" i="2"/>
  <c r="F18" i="2"/>
  <c r="F17" i="2"/>
  <c r="J16" i="2"/>
  <c r="I16" i="2"/>
  <c r="H16" i="2"/>
  <c r="G16" i="2"/>
  <c r="E16" i="2"/>
  <c r="D16" i="2"/>
  <c r="C16" i="2"/>
  <c r="F15" i="2"/>
  <c r="E15" i="2"/>
  <c r="K14" i="2"/>
  <c r="J14" i="2"/>
  <c r="I14" i="2"/>
  <c r="H14" i="2"/>
  <c r="G14" i="2"/>
  <c r="E14" i="2"/>
  <c r="D14" i="2"/>
  <c r="F13" i="2"/>
  <c r="F12" i="2" s="1"/>
  <c r="J12" i="2"/>
  <c r="I12" i="2"/>
  <c r="I10" i="2" s="1"/>
  <c r="I33" i="2" s="1"/>
  <c r="I149" i="2" s="1"/>
  <c r="H12" i="2"/>
  <c r="G12" i="2"/>
  <c r="E12" i="2"/>
  <c r="D12" i="2"/>
  <c r="D10" i="2" s="1"/>
  <c r="D33" i="2" s="1"/>
  <c r="C12" i="2"/>
  <c r="C10" i="2" s="1"/>
  <c r="C33" i="2" s="1"/>
  <c r="F11" i="2"/>
  <c r="G10" i="2"/>
  <c r="G33" i="2" s="1"/>
  <c r="G149" i="2" s="1"/>
  <c r="F122" i="2" l="1"/>
  <c r="E42" i="2"/>
  <c r="B26" i="10"/>
  <c r="H26" i="10" s="1"/>
  <c r="J154" i="2"/>
  <c r="F154" i="2" s="1"/>
  <c r="D42" i="2"/>
  <c r="D34" i="2" s="1"/>
  <c r="D150" i="2" s="1"/>
  <c r="J48" i="2"/>
  <c r="J42" i="2" s="1"/>
  <c r="J34" i="2" s="1"/>
  <c r="J150" i="2" s="1"/>
  <c r="F77" i="2"/>
  <c r="H30" i="2"/>
  <c r="F30" i="2" s="1"/>
  <c r="F82" i="2"/>
  <c r="E152" i="2"/>
  <c r="E159" i="2" s="1"/>
  <c r="C26" i="10"/>
  <c r="F22" i="10"/>
  <c r="Y117" i="10"/>
  <c r="Y118" i="10"/>
  <c r="Y119" i="10"/>
  <c r="E10" i="2"/>
  <c r="E33" i="2" s="1"/>
  <c r="F48" i="2"/>
  <c r="H10" i="2"/>
  <c r="H33" i="2" s="1"/>
  <c r="H149" i="2" s="1"/>
  <c r="C154" i="2"/>
  <c r="O154" i="2"/>
  <c r="D26" i="10"/>
  <c r="F26" i="10" s="1"/>
  <c r="H28" i="10"/>
  <c r="J59" i="10"/>
  <c r="G95" i="10"/>
  <c r="H107" i="10"/>
  <c r="E120" i="10"/>
  <c r="T120" i="10"/>
  <c r="AC120" i="10"/>
  <c r="J10" i="2"/>
  <c r="J33" i="2" s="1"/>
  <c r="J149" i="2" s="1"/>
  <c r="F16" i="2"/>
  <c r="E34" i="2"/>
  <c r="E150" i="2" s="1"/>
  <c r="E154" i="2"/>
  <c r="H159" i="2"/>
  <c r="G113" i="2"/>
  <c r="F113" i="2"/>
  <c r="H11" i="10"/>
  <c r="H18" i="10"/>
  <c r="H27" i="10"/>
  <c r="M120" i="10"/>
  <c r="F28" i="10"/>
  <c r="F42" i="2"/>
  <c r="AA120" i="10"/>
  <c r="C56" i="10"/>
  <c r="C53" i="10"/>
  <c r="C51" i="10"/>
  <c r="C43" i="10"/>
  <c r="C46" i="10"/>
  <c r="C45" i="10"/>
  <c r="C44" i="10"/>
  <c r="C55" i="10"/>
  <c r="C54" i="10"/>
  <c r="C52" i="10"/>
  <c r="C50" i="10"/>
  <c r="C49" i="10"/>
  <c r="C58" i="10"/>
  <c r="C57" i="10"/>
  <c r="B47" i="10"/>
  <c r="B44" i="10"/>
  <c r="B42" i="10"/>
  <c r="B58" i="10"/>
  <c r="B57" i="10"/>
  <c r="B56" i="10"/>
  <c r="B55" i="10"/>
  <c r="B54" i="10"/>
  <c r="B53" i="10"/>
  <c r="B52" i="10"/>
  <c r="B51" i="10"/>
  <c r="B50" i="10"/>
  <c r="B49" i="10"/>
  <c r="B48" i="10"/>
  <c r="B43" i="10"/>
  <c r="B46" i="10"/>
  <c r="B45" i="10"/>
  <c r="C47" i="10"/>
  <c r="F18" i="10"/>
  <c r="H22" i="10"/>
  <c r="H29" i="10"/>
  <c r="AA116" i="10"/>
  <c r="F27" i="10"/>
  <c r="C42" i="10"/>
  <c r="J116" i="10"/>
  <c r="J120" i="10" s="1"/>
  <c r="Y120" i="10" s="1"/>
  <c r="Z120" i="10"/>
  <c r="AB120" i="10"/>
  <c r="H21" i="10"/>
  <c r="E149" i="2"/>
  <c r="E76" i="2"/>
  <c r="E139" i="2" s="1"/>
  <c r="E144" i="2" s="1"/>
  <c r="E147" i="2" s="1"/>
  <c r="C149" i="2"/>
  <c r="M149" i="2" s="1"/>
  <c r="C76" i="2"/>
  <c r="C139" i="2" s="1"/>
  <c r="C144" i="2" s="1"/>
  <c r="C147" i="2" s="1"/>
  <c r="K33" i="2"/>
  <c r="G76" i="2"/>
  <c r="D76" i="2"/>
  <c r="D139" i="2" s="1"/>
  <c r="D144" i="2" s="1"/>
  <c r="D147" i="2" s="1"/>
  <c r="D149" i="2"/>
  <c r="D159" i="2"/>
  <c r="I159" i="2"/>
  <c r="F156" i="2"/>
  <c r="K15" i="2"/>
  <c r="F14" i="2"/>
  <c r="C152" i="2"/>
  <c r="C159" i="2" s="1"/>
  <c r="L156" i="2"/>
  <c r="F155" i="2"/>
  <c r="F152" i="2"/>
  <c r="H76" i="2"/>
  <c r="F38" i="2"/>
  <c r="F39" i="2"/>
  <c r="I48" i="2"/>
  <c r="I42" i="2" s="1"/>
  <c r="I34" i="2" s="1"/>
  <c r="I150" i="2" s="1"/>
  <c r="C150" i="2"/>
  <c r="M150" i="2" s="1"/>
  <c r="G152" i="2"/>
  <c r="H139" i="2" l="1"/>
  <c r="H144" i="2" s="1"/>
  <c r="H147" i="2" s="1"/>
  <c r="Y116" i="10"/>
  <c r="C59" i="10"/>
  <c r="G139" i="2"/>
  <c r="G144" i="2" s="1"/>
  <c r="G147" i="2" s="1"/>
  <c r="F10" i="2"/>
  <c r="F33" i="2" s="1"/>
  <c r="F149" i="2" s="1"/>
  <c r="F34" i="2"/>
  <c r="F150" i="2" s="1"/>
  <c r="J152" i="2"/>
  <c r="J159" i="2" s="1"/>
  <c r="J76" i="2"/>
  <c r="W121" i="10"/>
  <c r="M121" i="10"/>
  <c r="S121" i="10"/>
  <c r="Z121" i="10"/>
  <c r="X121" i="10"/>
  <c r="V121" i="10"/>
  <c r="R121" i="10"/>
  <c r="P121" i="10"/>
  <c r="N121" i="10"/>
  <c r="G121" i="10"/>
  <c r="B59" i="10"/>
  <c r="Q121" i="10"/>
  <c r="O121" i="10"/>
  <c r="L121" i="10"/>
  <c r="AB121" i="10"/>
  <c r="J121" i="10"/>
  <c r="U121" i="10"/>
  <c r="T121" i="10"/>
  <c r="AC121" i="10"/>
  <c r="K121" i="10"/>
  <c r="AA121" i="10"/>
  <c r="F169" i="2"/>
  <c r="N156" i="2"/>
  <c r="L155" i="2"/>
  <c r="I76" i="2"/>
  <c r="F159" i="2"/>
  <c r="I139" i="2" l="1"/>
  <c r="I144" i="2" s="1"/>
  <c r="I147" i="2" s="1"/>
  <c r="J139" i="2"/>
  <c r="J144" i="2" s="1"/>
  <c r="J147" i="2" s="1"/>
  <c r="F76" i="2"/>
  <c r="O120" i="22"/>
  <c r="I130" i="22"/>
  <c r="I122" i="22"/>
  <c r="I121" i="22"/>
  <c r="I123" i="22" s="1"/>
  <c r="J112" i="22"/>
  <c r="J113" i="22"/>
  <c r="J114" i="22"/>
  <c r="J115" i="22"/>
  <c r="J116" i="22"/>
  <c r="J117" i="22"/>
  <c r="J118" i="22"/>
  <c r="J111" i="22"/>
  <c r="I117" i="22"/>
  <c r="I116" i="22"/>
  <c r="I115" i="22"/>
  <c r="I114" i="22"/>
  <c r="I113" i="22"/>
  <c r="I112" i="22"/>
  <c r="I111" i="22"/>
  <c r="I109" i="22"/>
  <c r="J109" i="22"/>
  <c r="J108" i="22"/>
  <c r="F139" i="2" l="1"/>
  <c r="F144" i="2" s="1"/>
  <c r="F147" i="2" s="1"/>
  <c r="J35" i="22"/>
  <c r="I52" i="22"/>
  <c r="I51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1" i="22"/>
  <c r="I16" i="22" l="1"/>
  <c r="I15" i="22"/>
  <c r="K78" i="22" l="1"/>
  <c r="O117" i="22"/>
  <c r="O116" i="22"/>
  <c r="O115" i="22"/>
  <c r="O114" i="22"/>
  <c r="O113" i="22"/>
  <c r="O112" i="22"/>
  <c r="O111" i="22"/>
  <c r="O110" i="22"/>
  <c r="O109" i="22"/>
  <c r="O107" i="22"/>
  <c r="O105" i="22"/>
  <c r="G105" i="22"/>
  <c r="H105" i="22" s="1"/>
  <c r="F105" i="22"/>
  <c r="D105" i="22"/>
  <c r="O104" i="22"/>
  <c r="G104" i="22"/>
  <c r="F104" i="22"/>
  <c r="D104" i="22"/>
  <c r="O102" i="22"/>
  <c r="G102" i="22"/>
  <c r="H102" i="22" s="1"/>
  <c r="F102" i="22"/>
  <c r="E102" i="22"/>
  <c r="D102" i="22"/>
  <c r="D100" i="22" s="1"/>
  <c r="O101" i="22"/>
  <c r="G101" i="22"/>
  <c r="H101" i="22" s="1"/>
  <c r="F101" i="22"/>
  <c r="E101" i="22"/>
  <c r="D101" i="22"/>
  <c r="C101" i="22"/>
  <c r="C100" i="22" s="1"/>
  <c r="K100" i="22"/>
  <c r="O100" i="22"/>
  <c r="O99" i="22"/>
  <c r="O98" i="22"/>
  <c r="G98" i="22"/>
  <c r="H98" i="22" s="1"/>
  <c r="F98" i="22"/>
  <c r="E98" i="22"/>
  <c r="D98" i="22"/>
  <c r="O97" i="22"/>
  <c r="G97" i="22"/>
  <c r="H97" i="22" s="1"/>
  <c r="F97" i="22"/>
  <c r="E97" i="22"/>
  <c r="D97" i="22"/>
  <c r="C97" i="22"/>
  <c r="C96" i="22" s="1"/>
  <c r="L96" i="22"/>
  <c r="K96" i="22"/>
  <c r="O96" i="22"/>
  <c r="O95" i="22"/>
  <c r="F95" i="22"/>
  <c r="D95" i="22"/>
  <c r="O94" i="22"/>
  <c r="G94" i="22"/>
  <c r="H94" i="22" s="1"/>
  <c r="E94" i="22"/>
  <c r="O93" i="22"/>
  <c r="G93" i="22"/>
  <c r="H93" i="22" s="1"/>
  <c r="F93" i="22"/>
  <c r="F88" i="22" s="1"/>
  <c r="F87" i="22" s="1"/>
  <c r="O92" i="22"/>
  <c r="G92" i="22"/>
  <c r="H92" i="22" s="1"/>
  <c r="E92" i="22"/>
  <c r="O91" i="22"/>
  <c r="G91" i="22"/>
  <c r="H91" i="22" s="1"/>
  <c r="F91" i="22"/>
  <c r="E91" i="22"/>
  <c r="O90" i="22"/>
  <c r="G90" i="22"/>
  <c r="H90" i="22" s="1"/>
  <c r="H89" i="22" s="1"/>
  <c r="F90" i="22"/>
  <c r="E90" i="22"/>
  <c r="N89" i="22"/>
  <c r="N88" i="22" s="1"/>
  <c r="M89" i="22"/>
  <c r="M88" i="22" s="1"/>
  <c r="L89" i="22"/>
  <c r="L88" i="22" s="1"/>
  <c r="K89" i="22"/>
  <c r="K88" i="22" s="1"/>
  <c r="K87" i="22" s="1"/>
  <c r="O89" i="22"/>
  <c r="G89" i="22"/>
  <c r="F89" i="22"/>
  <c r="E89" i="22"/>
  <c r="D89" i="22"/>
  <c r="C89" i="22"/>
  <c r="O88" i="22"/>
  <c r="E88" i="22"/>
  <c r="E87" i="22" s="1"/>
  <c r="D88" i="22"/>
  <c r="D91" i="22" s="1"/>
  <c r="C88" i="22"/>
  <c r="O87" i="22"/>
  <c r="D87" i="22"/>
  <c r="C87" i="22"/>
  <c r="O86" i="22"/>
  <c r="O85" i="22"/>
  <c r="G85" i="22"/>
  <c r="H85" i="22" s="1"/>
  <c r="F85" i="22"/>
  <c r="E85" i="22"/>
  <c r="O84" i="22"/>
  <c r="G84" i="22"/>
  <c r="H84" i="22" s="1"/>
  <c r="H83" i="22" s="1"/>
  <c r="F84" i="22"/>
  <c r="F83" i="22" s="1"/>
  <c r="O83" i="22"/>
  <c r="O82" i="22"/>
  <c r="G82" i="22"/>
  <c r="H82" i="22" s="1"/>
  <c r="F82" i="22"/>
  <c r="D82" i="22"/>
  <c r="O81" i="22"/>
  <c r="G81" i="22"/>
  <c r="H81" i="22" s="1"/>
  <c r="F81" i="22"/>
  <c r="D81" i="22"/>
  <c r="O80" i="22"/>
  <c r="G80" i="22"/>
  <c r="H80" i="22" s="1"/>
  <c r="F80" i="22"/>
  <c r="E80" i="22"/>
  <c r="D80" i="22"/>
  <c r="O79" i="22"/>
  <c r="G79" i="22"/>
  <c r="H79" i="22" s="1"/>
  <c r="F79" i="22"/>
  <c r="D79" i="22"/>
  <c r="O78" i="22"/>
  <c r="O77" i="22"/>
  <c r="G77" i="22"/>
  <c r="H77" i="22" s="1"/>
  <c r="F77" i="22"/>
  <c r="D77" i="22"/>
  <c r="O76" i="22"/>
  <c r="G76" i="22"/>
  <c r="H76" i="22" s="1"/>
  <c r="F76" i="22"/>
  <c r="D76" i="22"/>
  <c r="O75" i="22"/>
  <c r="G75" i="22"/>
  <c r="H75" i="22" s="1"/>
  <c r="F75" i="22"/>
  <c r="D75" i="22"/>
  <c r="O74" i="22"/>
  <c r="G74" i="22"/>
  <c r="H74" i="22" s="1"/>
  <c r="F74" i="22"/>
  <c r="D74" i="22"/>
  <c r="O73" i="22"/>
  <c r="G73" i="22"/>
  <c r="H73" i="22" s="1"/>
  <c r="F73" i="22"/>
  <c r="D73" i="22"/>
  <c r="O72" i="22"/>
  <c r="G72" i="22"/>
  <c r="H72" i="22" s="1"/>
  <c r="F72" i="22"/>
  <c r="D72" i="22"/>
  <c r="D71" i="22" s="1"/>
  <c r="O71" i="22"/>
  <c r="N71" i="22"/>
  <c r="M71" i="22"/>
  <c r="L71" i="22"/>
  <c r="K71" i="22"/>
  <c r="G71" i="22"/>
  <c r="E71" i="22"/>
  <c r="C71" i="22"/>
  <c r="O70" i="22"/>
  <c r="G70" i="22"/>
  <c r="H70" i="22" s="1"/>
  <c r="F70" i="22"/>
  <c r="E70" i="22"/>
  <c r="O69" i="22"/>
  <c r="G69" i="22"/>
  <c r="H69" i="22" s="1"/>
  <c r="F69" i="22"/>
  <c r="E69" i="22"/>
  <c r="O68" i="22"/>
  <c r="G68" i="22"/>
  <c r="H68" i="22" s="1"/>
  <c r="F68" i="22"/>
  <c r="E68" i="22"/>
  <c r="O67" i="22"/>
  <c r="G67" i="22"/>
  <c r="H67" i="22" s="1"/>
  <c r="F67" i="22"/>
  <c r="E67" i="22"/>
  <c r="O66" i="22"/>
  <c r="G66" i="22"/>
  <c r="H66" i="22" s="1"/>
  <c r="F66" i="22"/>
  <c r="E66" i="22"/>
  <c r="O65" i="22"/>
  <c r="G65" i="22"/>
  <c r="H65" i="22" s="1"/>
  <c r="F65" i="22"/>
  <c r="E65" i="22"/>
  <c r="O64" i="22"/>
  <c r="G64" i="22"/>
  <c r="H64" i="22" s="1"/>
  <c r="F64" i="22"/>
  <c r="E64" i="22"/>
  <c r="D64" i="22"/>
  <c r="C64" i="22"/>
  <c r="O63" i="22"/>
  <c r="G63" i="22"/>
  <c r="H63" i="22" s="1"/>
  <c r="F63" i="22"/>
  <c r="E63" i="22"/>
  <c r="D63" i="22"/>
  <c r="C63" i="22"/>
  <c r="O62" i="22"/>
  <c r="G62" i="22"/>
  <c r="H62" i="22" s="1"/>
  <c r="F62" i="22"/>
  <c r="E62" i="22"/>
  <c r="D62" i="22"/>
  <c r="C62" i="22"/>
  <c r="O61" i="22"/>
  <c r="G61" i="22"/>
  <c r="H61" i="22" s="1"/>
  <c r="F61" i="22"/>
  <c r="E61" i="22"/>
  <c r="D61" i="22"/>
  <c r="C61" i="22"/>
  <c r="O60" i="22"/>
  <c r="G60" i="22"/>
  <c r="H60" i="22" s="1"/>
  <c r="F60" i="22"/>
  <c r="E60" i="22"/>
  <c r="D60" i="22"/>
  <c r="D113" i="22" s="1"/>
  <c r="O59" i="22"/>
  <c r="G59" i="22"/>
  <c r="H59" i="22" s="1"/>
  <c r="F59" i="22"/>
  <c r="E59" i="22"/>
  <c r="D59" i="22"/>
  <c r="O58" i="22"/>
  <c r="G58" i="22"/>
  <c r="H58" i="22" s="1"/>
  <c r="F58" i="22"/>
  <c r="E58" i="22"/>
  <c r="D58" i="22"/>
  <c r="C58" i="22"/>
  <c r="N55" i="22"/>
  <c r="O57" i="22"/>
  <c r="G57" i="22"/>
  <c r="H57" i="22" s="1"/>
  <c r="F57" i="22"/>
  <c r="E57" i="22"/>
  <c r="D57" i="22"/>
  <c r="C57" i="22"/>
  <c r="O56" i="22"/>
  <c r="H56" i="22"/>
  <c r="G56" i="22"/>
  <c r="F56" i="22"/>
  <c r="E56" i="22"/>
  <c r="D56" i="22"/>
  <c r="C56" i="22"/>
  <c r="K55" i="22"/>
  <c r="O55" i="22"/>
  <c r="O54" i="22"/>
  <c r="H54" i="22"/>
  <c r="G54" i="22"/>
  <c r="F54" i="22"/>
  <c r="E54" i="22"/>
  <c r="D54" i="22"/>
  <c r="C54" i="22"/>
  <c r="O53" i="22"/>
  <c r="G53" i="22"/>
  <c r="H53" i="22" s="1"/>
  <c r="F53" i="22"/>
  <c r="E53" i="22"/>
  <c r="D53" i="22"/>
  <c r="C53" i="22"/>
  <c r="G52" i="22"/>
  <c r="H52" i="22" s="1"/>
  <c r="F52" i="22"/>
  <c r="E52" i="22"/>
  <c r="D52" i="22"/>
  <c r="C52" i="22"/>
  <c r="G51" i="22"/>
  <c r="H51" i="22" s="1"/>
  <c r="F51" i="22"/>
  <c r="E51" i="22"/>
  <c r="D51" i="22"/>
  <c r="C51" i="22"/>
  <c r="K50" i="22"/>
  <c r="G50" i="22"/>
  <c r="H50" i="22" s="1"/>
  <c r="F50" i="22"/>
  <c r="E50" i="22"/>
  <c r="D50" i="22"/>
  <c r="C50" i="22"/>
  <c r="G49" i="22"/>
  <c r="H49" i="22" s="1"/>
  <c r="F49" i="22"/>
  <c r="E49" i="22"/>
  <c r="D49" i="22"/>
  <c r="C49" i="22"/>
  <c r="O48" i="22"/>
  <c r="O47" i="22"/>
  <c r="G47" i="22"/>
  <c r="H47" i="22" s="1"/>
  <c r="F47" i="22"/>
  <c r="E47" i="22"/>
  <c r="D47" i="22"/>
  <c r="O46" i="22"/>
  <c r="G46" i="22"/>
  <c r="H46" i="22" s="1"/>
  <c r="F46" i="22"/>
  <c r="E46" i="22"/>
  <c r="D46" i="22"/>
  <c r="C46" i="22"/>
  <c r="O45" i="22"/>
  <c r="G45" i="22"/>
  <c r="H45" i="22" s="1"/>
  <c r="F45" i="22"/>
  <c r="E45" i="22"/>
  <c r="D45" i="22"/>
  <c r="C45" i="22"/>
  <c r="O44" i="22"/>
  <c r="G44" i="22"/>
  <c r="H44" i="22" s="1"/>
  <c r="F44" i="22"/>
  <c r="E44" i="22"/>
  <c r="D44" i="22"/>
  <c r="C44" i="22"/>
  <c r="O43" i="22"/>
  <c r="G43" i="22"/>
  <c r="H43" i="22" s="1"/>
  <c r="F43" i="22"/>
  <c r="E43" i="22"/>
  <c r="D43" i="22"/>
  <c r="C43" i="22"/>
  <c r="O42" i="22"/>
  <c r="G42" i="22"/>
  <c r="H42" i="22" s="1"/>
  <c r="F42" i="22"/>
  <c r="E42" i="22"/>
  <c r="D42" i="22"/>
  <c r="C42" i="22"/>
  <c r="O41" i="22"/>
  <c r="G41" i="22"/>
  <c r="H41" i="22" s="1"/>
  <c r="F41" i="22"/>
  <c r="F115" i="22" s="1"/>
  <c r="E41" i="22"/>
  <c r="D41" i="22"/>
  <c r="C41" i="22"/>
  <c r="O40" i="22"/>
  <c r="G40" i="22"/>
  <c r="H40" i="22" s="1"/>
  <c r="F40" i="22"/>
  <c r="E40" i="22"/>
  <c r="D40" i="22"/>
  <c r="D114" i="22" s="1"/>
  <c r="C40" i="22"/>
  <c r="O39" i="22"/>
  <c r="G39" i="22"/>
  <c r="H39" i="22" s="1"/>
  <c r="F39" i="22"/>
  <c r="E39" i="22"/>
  <c r="D39" i="22"/>
  <c r="C39" i="22"/>
  <c r="O38" i="22"/>
  <c r="G38" i="22"/>
  <c r="H38" i="22" s="1"/>
  <c r="F38" i="22"/>
  <c r="E38" i="22"/>
  <c r="D38" i="22"/>
  <c r="O37" i="22"/>
  <c r="G37" i="22"/>
  <c r="H37" i="22" s="1"/>
  <c r="F37" i="22"/>
  <c r="E37" i="22"/>
  <c r="D37" i="22"/>
  <c r="C37" i="22"/>
  <c r="O36" i="22"/>
  <c r="G36" i="22"/>
  <c r="H36" i="22" s="1"/>
  <c r="F36" i="22"/>
  <c r="E36" i="22"/>
  <c r="D36" i="22"/>
  <c r="O35" i="22"/>
  <c r="G35" i="22"/>
  <c r="H35" i="22" s="1"/>
  <c r="F35" i="22"/>
  <c r="E35" i="22"/>
  <c r="D35" i="22"/>
  <c r="O34" i="22"/>
  <c r="G34" i="22"/>
  <c r="H34" i="22" s="1"/>
  <c r="F34" i="22"/>
  <c r="E34" i="22"/>
  <c r="D34" i="22"/>
  <c r="O33" i="22"/>
  <c r="G33" i="22"/>
  <c r="H33" i="22" s="1"/>
  <c r="F33" i="22"/>
  <c r="E33" i="22"/>
  <c r="D33" i="22"/>
  <c r="O31" i="22"/>
  <c r="G31" i="22"/>
  <c r="H31" i="22" s="1"/>
  <c r="F31" i="22"/>
  <c r="E31" i="22"/>
  <c r="D31" i="22"/>
  <c r="O30" i="22"/>
  <c r="G30" i="22"/>
  <c r="H30" i="22" s="1"/>
  <c r="F30" i="22"/>
  <c r="E30" i="22"/>
  <c r="D30" i="22"/>
  <c r="O29" i="22"/>
  <c r="N84" i="22"/>
  <c r="M84" i="22"/>
  <c r="M83" i="22" s="1"/>
  <c r="M78" i="22" s="1"/>
  <c r="L84" i="22"/>
  <c r="L83" i="22" s="1"/>
  <c r="L78" i="22" s="1"/>
  <c r="K84" i="22"/>
  <c r="G29" i="22"/>
  <c r="H29" i="22" s="1"/>
  <c r="F29" i="22"/>
  <c r="E29" i="22"/>
  <c r="E84" i="22" s="1"/>
  <c r="E83" i="22" s="1"/>
  <c r="E78" i="22" s="1"/>
  <c r="D29" i="22"/>
  <c r="D84" i="22" s="1"/>
  <c r="C29" i="22"/>
  <c r="C84" i="22" s="1"/>
  <c r="L28" i="22"/>
  <c r="K28" i="22"/>
  <c r="O28" i="22"/>
  <c r="O26" i="22"/>
  <c r="K26" i="22"/>
  <c r="K24" i="22" s="1"/>
  <c r="O25" i="22"/>
  <c r="O24" i="22"/>
  <c r="O23" i="22"/>
  <c r="O22" i="22"/>
  <c r="O21" i="22"/>
  <c r="G115" i="22"/>
  <c r="E115" i="22"/>
  <c r="D115" i="22"/>
  <c r="C115" i="22"/>
  <c r="O20" i="22"/>
  <c r="G114" i="22"/>
  <c r="F114" i="22"/>
  <c r="E114" i="22"/>
  <c r="C114" i="22"/>
  <c r="O19" i="22"/>
  <c r="O18" i="22"/>
  <c r="F113" i="22"/>
  <c r="O17" i="22"/>
  <c r="G112" i="22"/>
  <c r="E112" i="22"/>
  <c r="C112" i="22"/>
  <c r="F16" i="22"/>
  <c r="O14" i="22"/>
  <c r="O13" i="22"/>
  <c r="O12" i="22"/>
  <c r="O11" i="22"/>
  <c r="O10" i="22"/>
  <c r="F7" i="22"/>
  <c r="F15" i="22" s="1"/>
  <c r="D7" i="22"/>
  <c r="D15" i="22" s="1"/>
  <c r="O9" i="22"/>
  <c r="O8" i="22"/>
  <c r="H7" i="22"/>
  <c r="H15" i="22" s="1"/>
  <c r="C7" i="22"/>
  <c r="C15" i="22" s="1"/>
  <c r="M7" i="22"/>
  <c r="L7" i="22"/>
  <c r="K7" i="22"/>
  <c r="G7" i="22"/>
  <c r="G15" i="22" s="1"/>
  <c r="E7" i="22"/>
  <c r="E15" i="22" s="1"/>
  <c r="J3" i="22"/>
  <c r="I3" i="22"/>
  <c r="H3" i="22"/>
  <c r="G3" i="22"/>
  <c r="F3" i="22"/>
  <c r="E3" i="22"/>
  <c r="G28" i="22" l="1"/>
  <c r="F116" i="22"/>
  <c r="G55" i="22"/>
  <c r="G32" i="22" s="1"/>
  <c r="G116" i="22"/>
  <c r="D55" i="22"/>
  <c r="D32" i="22" s="1"/>
  <c r="F55" i="22"/>
  <c r="C55" i="22"/>
  <c r="C32" i="22" s="1"/>
  <c r="G88" i="22"/>
  <c r="G87" i="22" s="1"/>
  <c r="G96" i="22"/>
  <c r="E96" i="22"/>
  <c r="E100" i="22"/>
  <c r="F100" i="22"/>
  <c r="E55" i="22"/>
  <c r="D96" i="22"/>
  <c r="F96" i="22"/>
  <c r="C28" i="22"/>
  <c r="C108" i="22" s="1"/>
  <c r="H78" i="22"/>
  <c r="G100" i="22"/>
  <c r="H96" i="22"/>
  <c r="F71" i="22"/>
  <c r="E28" i="22"/>
  <c r="D28" i="22"/>
  <c r="F28" i="22"/>
  <c r="F32" i="22"/>
  <c r="E16" i="22"/>
  <c r="D112" i="22"/>
  <c r="D111" i="22" s="1"/>
  <c r="F112" i="22"/>
  <c r="F111" i="22" s="1"/>
  <c r="C113" i="22"/>
  <c r="C111" i="22" s="1"/>
  <c r="E113" i="22"/>
  <c r="G113" i="22"/>
  <c r="G16" i="22"/>
  <c r="G83" i="22"/>
  <c r="G78" i="22" s="1"/>
  <c r="G117" i="22" s="1"/>
  <c r="H100" i="22"/>
  <c r="E111" i="22"/>
  <c r="G111" i="22"/>
  <c r="E32" i="22"/>
  <c r="F78" i="22"/>
  <c r="N83" i="22"/>
  <c r="N78" i="22" s="1"/>
  <c r="H71" i="22"/>
  <c r="H28" i="22"/>
  <c r="D108" i="22"/>
  <c r="F27" i="22"/>
  <c r="E108" i="22"/>
  <c r="C83" i="22"/>
  <c r="C78" i="22" s="1"/>
  <c r="M28" i="22"/>
  <c r="H55" i="22"/>
  <c r="H88" i="22"/>
  <c r="D83" i="22"/>
  <c r="D78" i="22" s="1"/>
  <c r="L87" i="22"/>
  <c r="L26" i="22"/>
  <c r="L24" i="22" s="1"/>
  <c r="H113" i="22"/>
  <c r="H114" i="22"/>
  <c r="H115" i="22"/>
  <c r="H116" i="22"/>
  <c r="N96" i="22"/>
  <c r="M96" i="22"/>
  <c r="E116" i="22"/>
  <c r="L100" i="22"/>
  <c r="F117" i="22" l="1"/>
  <c r="F108" i="22"/>
  <c r="E117" i="22"/>
  <c r="E118" i="22" s="1"/>
  <c r="G108" i="22"/>
  <c r="D117" i="22"/>
  <c r="C117" i="22"/>
  <c r="H117" i="22"/>
  <c r="F109" i="22"/>
  <c r="E109" i="22"/>
  <c r="G118" i="22"/>
  <c r="G109" i="22"/>
  <c r="G27" i="22"/>
  <c r="G86" i="22" s="1"/>
  <c r="G103" i="22" s="1"/>
  <c r="G106" i="22" s="1"/>
  <c r="E27" i="22"/>
  <c r="E86" i="22" s="1"/>
  <c r="E103" i="22" s="1"/>
  <c r="E106" i="22" s="1"/>
  <c r="F86" i="22"/>
  <c r="F103" i="22" s="1"/>
  <c r="F106" i="22" s="1"/>
  <c r="F118" i="22"/>
  <c r="H32" i="22"/>
  <c r="L27" i="22"/>
  <c r="K118" i="22"/>
  <c r="K27" i="22"/>
  <c r="N100" i="22"/>
  <c r="M100" i="22"/>
  <c r="M55" i="22"/>
  <c r="M26" i="22"/>
  <c r="M24" i="22" s="1"/>
  <c r="M87" i="22"/>
  <c r="D116" i="22"/>
  <c r="D118" i="22" s="1"/>
  <c r="D16" i="22"/>
  <c r="H87" i="22"/>
  <c r="H108" i="22" s="1"/>
  <c r="H137" i="22" s="1"/>
  <c r="N28" i="22"/>
  <c r="N7" i="22"/>
  <c r="I7" i="22" s="1"/>
  <c r="O7" i="22" s="1"/>
  <c r="L55" i="22"/>
  <c r="H112" i="22"/>
  <c r="H111" i="22" s="1"/>
  <c r="H16" i="22"/>
  <c r="C116" i="22"/>
  <c r="C118" i="22" s="1"/>
  <c r="C16" i="22"/>
  <c r="H118" i="22" l="1"/>
  <c r="K86" i="22"/>
  <c r="K103" i="22" s="1"/>
  <c r="K106" i="22"/>
  <c r="M118" i="22"/>
  <c r="C109" i="22"/>
  <c r="C27" i="22"/>
  <c r="C86" i="22" s="1"/>
  <c r="C103" i="22" s="1"/>
  <c r="C106" i="22" s="1"/>
  <c r="H27" i="22"/>
  <c r="H86" i="22" s="1"/>
  <c r="H103" i="22" s="1"/>
  <c r="N87" i="22"/>
  <c r="N26" i="22"/>
  <c r="N24" i="22" s="1"/>
  <c r="L118" i="22"/>
  <c r="L86" i="22"/>
  <c r="L103" i="22" s="1"/>
  <c r="L106" i="22" s="1"/>
  <c r="D109" i="22"/>
  <c r="D27" i="22"/>
  <c r="D86" i="22" s="1"/>
  <c r="D103" i="22" s="1"/>
  <c r="D106" i="22" s="1"/>
  <c r="M27" i="22"/>
  <c r="M86" i="22" s="1"/>
  <c r="M103" i="22" s="1"/>
  <c r="M106" i="22" s="1"/>
  <c r="I108" i="22" l="1"/>
  <c r="O108" i="22" s="1"/>
  <c r="N118" i="22"/>
  <c r="I118" i="22" s="1"/>
  <c r="O118" i="22" s="1"/>
  <c r="H104" i="22"/>
  <c r="H109" i="22" s="1"/>
  <c r="H106" i="22" l="1"/>
  <c r="H136" i="22"/>
  <c r="H135" i="22"/>
  <c r="N27" i="22"/>
  <c r="N86" i="22" l="1"/>
  <c r="N103" i="22" s="1"/>
  <c r="I27" i="22"/>
  <c r="N106" i="22"/>
  <c r="H24" i="19" l="1"/>
  <c r="F16" i="3" l="1"/>
  <c r="F15" i="3"/>
  <c r="J14" i="3"/>
  <c r="I14" i="3"/>
  <c r="I9" i="3" s="1"/>
  <c r="H14" i="3"/>
  <c r="H9" i="3" s="1"/>
  <c r="G14" i="3"/>
  <c r="G9" i="3" s="1"/>
  <c r="E14" i="3"/>
  <c r="E9" i="3" s="1"/>
  <c r="D14" i="3"/>
  <c r="D9" i="3" s="1"/>
  <c r="C14" i="3"/>
  <c r="F13" i="3"/>
  <c r="F12" i="3"/>
  <c r="F11" i="3"/>
  <c r="C11" i="3"/>
  <c r="F10" i="3"/>
  <c r="J9" i="3"/>
  <c r="H32" i="18" l="1"/>
  <c r="H30" i="18"/>
  <c r="D32" i="18"/>
  <c r="D30" i="18"/>
  <c r="I32" i="18"/>
  <c r="I30" i="18"/>
  <c r="E32" i="18"/>
  <c r="E30" i="18"/>
  <c r="J32" i="18"/>
  <c r="J30" i="18"/>
  <c r="G30" i="18"/>
  <c r="G32" i="18"/>
  <c r="F14" i="3"/>
  <c r="C9" i="3"/>
  <c r="F9" i="3"/>
  <c r="C32" i="18" l="1"/>
  <c r="C30" i="18"/>
  <c r="F30" i="18"/>
  <c r="F32" i="18"/>
  <c r="I34" i="19" l="1"/>
  <c r="J34" i="19"/>
  <c r="G24" i="19" l="1"/>
  <c r="I24" i="19"/>
  <c r="J24" i="19"/>
  <c r="B14" i="20" l="1"/>
  <c r="C14" i="20"/>
  <c r="D15" i="20"/>
  <c r="E16" i="20"/>
  <c r="F16" i="20" s="1"/>
  <c r="E17" i="20"/>
  <c r="H17" i="20" s="1"/>
  <c r="F17" i="20"/>
  <c r="E18" i="20"/>
  <c r="F18" i="20" s="1"/>
  <c r="D19" i="20"/>
  <c r="E19" i="20" s="1"/>
  <c r="H19" i="20" s="1"/>
  <c r="E20" i="20"/>
  <c r="F20" i="20" s="1"/>
  <c r="B22" i="20"/>
  <c r="B30" i="20" s="1"/>
  <c r="D22" i="20"/>
  <c r="E22" i="20"/>
  <c r="B23" i="20"/>
  <c r="D23" i="20"/>
  <c r="D31" i="20" s="1"/>
  <c r="E23" i="20"/>
  <c r="H23" i="20" s="1"/>
  <c r="C24" i="20"/>
  <c r="C21" i="20" s="1"/>
  <c r="C29" i="20" s="1"/>
  <c r="C26" i="20"/>
  <c r="E26" i="20" s="1"/>
  <c r="B27" i="20"/>
  <c r="C27" i="20"/>
  <c r="D27" i="20" s="1"/>
  <c r="C30" i="20"/>
  <c r="C31" i="20"/>
  <c r="C32" i="20"/>
  <c r="F33" i="20"/>
  <c r="H33" i="20"/>
  <c r="F34" i="20"/>
  <c r="H34" i="20"/>
  <c r="F35" i="20"/>
  <c r="H35" i="20"/>
  <c r="F36" i="20"/>
  <c r="H36" i="20"/>
  <c r="J46" i="20"/>
  <c r="J54" i="20" s="1"/>
  <c r="K46" i="20"/>
  <c r="J47" i="20"/>
  <c r="K47" i="20"/>
  <c r="J48" i="20"/>
  <c r="K48" i="20"/>
  <c r="E49" i="20"/>
  <c r="G49" i="20"/>
  <c r="J49" i="20"/>
  <c r="K49" i="20"/>
  <c r="J50" i="20"/>
  <c r="K50" i="20"/>
  <c r="D54" i="20"/>
  <c r="B45" i="20" s="1"/>
  <c r="F54" i="20"/>
  <c r="C45" i="20" s="1"/>
  <c r="G86" i="20"/>
  <c r="G87" i="20"/>
  <c r="G88" i="20"/>
  <c r="G89" i="20"/>
  <c r="H98" i="20"/>
  <c r="H99" i="20"/>
  <c r="H100" i="20"/>
  <c r="H101" i="20"/>
  <c r="E110" i="20"/>
  <c r="J110" i="20"/>
  <c r="O110" i="20"/>
  <c r="T110" i="20"/>
  <c r="Z110" i="20"/>
  <c r="AA110" i="20"/>
  <c r="AB110" i="20"/>
  <c r="AC110" i="20"/>
  <c r="E111" i="20"/>
  <c r="J111" i="20"/>
  <c r="O111" i="20"/>
  <c r="T111" i="20"/>
  <c r="Z111" i="20"/>
  <c r="AA111" i="20"/>
  <c r="AB111" i="20"/>
  <c r="AC111" i="20"/>
  <c r="E112" i="20"/>
  <c r="J112" i="20"/>
  <c r="O112" i="20"/>
  <c r="T112" i="20"/>
  <c r="Z112" i="20"/>
  <c r="AA112" i="20"/>
  <c r="AB112" i="20"/>
  <c r="AC112" i="20"/>
  <c r="E113" i="20"/>
  <c r="J113" i="20"/>
  <c r="O113" i="20"/>
  <c r="T113" i="20"/>
  <c r="Z113" i="20"/>
  <c r="AA113" i="20"/>
  <c r="AB113" i="20"/>
  <c r="AC113" i="20"/>
  <c r="E114" i="20"/>
  <c r="R114" i="20"/>
  <c r="AB114" i="20" s="1"/>
  <c r="T114" i="20"/>
  <c r="Z114" i="20"/>
  <c r="AA114" i="20"/>
  <c r="AC114" i="20"/>
  <c r="F47" i="14"/>
  <c r="J130" i="22" s="1"/>
  <c r="O130" i="22" s="1"/>
  <c r="C47" i="14"/>
  <c r="D47" i="14"/>
  <c r="E47" i="14"/>
  <c r="G47" i="14"/>
  <c r="H47" i="14"/>
  <c r="I47" i="14"/>
  <c r="J47" i="14"/>
  <c r="C37" i="18"/>
  <c r="D37" i="18"/>
  <c r="E37" i="18"/>
  <c r="F37" i="18"/>
  <c r="G37" i="18"/>
  <c r="G42" i="14" s="1"/>
  <c r="H37" i="18"/>
  <c r="I37" i="18"/>
  <c r="I42" i="14" s="1"/>
  <c r="J37" i="18"/>
  <c r="J42" i="14" s="1"/>
  <c r="C63" i="18"/>
  <c r="D63" i="18"/>
  <c r="D68" i="18" s="1"/>
  <c r="D67" i="18" s="1"/>
  <c r="D45" i="14" s="1"/>
  <c r="E63" i="18"/>
  <c r="E43" i="14" s="1"/>
  <c r="F63" i="18"/>
  <c r="F43" i="14" s="1"/>
  <c r="G63" i="18"/>
  <c r="H63" i="18"/>
  <c r="I63" i="18"/>
  <c r="I68" i="18" s="1"/>
  <c r="I67" i="18" s="1"/>
  <c r="I45" i="14" s="1"/>
  <c r="J63" i="18"/>
  <c r="J43" i="14" s="1"/>
  <c r="G68" i="18"/>
  <c r="G67" i="18" s="1"/>
  <c r="G45" i="14" s="1"/>
  <c r="C24" i="19"/>
  <c r="C35" i="19" s="1"/>
  <c r="C38" i="14" s="1"/>
  <c r="D24" i="19"/>
  <c r="D35" i="19" s="1"/>
  <c r="D38" i="14" s="1"/>
  <c r="E24" i="19"/>
  <c r="E35" i="19" s="1"/>
  <c r="E38" i="14" s="1"/>
  <c r="F28" i="19"/>
  <c r="F24" i="19" s="1"/>
  <c r="F34" i="19"/>
  <c r="F37" i="14" s="1"/>
  <c r="J122" i="22" s="1"/>
  <c r="G35" i="19"/>
  <c r="G38" i="14" s="1"/>
  <c r="H35" i="19"/>
  <c r="H38" i="14" s="1"/>
  <c r="I35" i="19"/>
  <c r="I38" i="14" s="1"/>
  <c r="J35" i="19"/>
  <c r="J38" i="14" s="1"/>
  <c r="E16" i="14"/>
  <c r="I16" i="14"/>
  <c r="C19" i="14"/>
  <c r="E19" i="14"/>
  <c r="H19" i="14"/>
  <c r="J19" i="14"/>
  <c r="E20" i="14"/>
  <c r="G20" i="14"/>
  <c r="H20" i="14"/>
  <c r="I20" i="14"/>
  <c r="E21" i="14"/>
  <c r="G21" i="14"/>
  <c r="H21" i="14"/>
  <c r="D22" i="14"/>
  <c r="E22" i="14"/>
  <c r="G22" i="14"/>
  <c r="H22" i="14"/>
  <c r="J22" i="14"/>
  <c r="B16" i="14"/>
  <c r="G16" i="14"/>
  <c r="B17" i="14"/>
  <c r="B18" i="14"/>
  <c r="B19" i="14"/>
  <c r="D19" i="14"/>
  <c r="G19" i="14"/>
  <c r="I19" i="14"/>
  <c r="B20" i="14"/>
  <c r="D20" i="14"/>
  <c r="B21" i="14"/>
  <c r="C21" i="14"/>
  <c r="D21" i="14"/>
  <c r="I21" i="14"/>
  <c r="J21" i="14"/>
  <c r="B22" i="14"/>
  <c r="I22" i="14"/>
  <c r="B23" i="14"/>
  <c r="B24" i="14"/>
  <c r="C24" i="14"/>
  <c r="D24" i="14"/>
  <c r="E24" i="14"/>
  <c r="F24" i="14"/>
  <c r="G24" i="14"/>
  <c r="H24" i="14"/>
  <c r="I24" i="14"/>
  <c r="J24" i="14"/>
  <c r="B25" i="14"/>
  <c r="C25" i="14"/>
  <c r="D25" i="14"/>
  <c r="E25" i="14"/>
  <c r="F25" i="14"/>
  <c r="G25" i="14"/>
  <c r="H25" i="14"/>
  <c r="I25" i="14"/>
  <c r="J25" i="14"/>
  <c r="B26" i="14"/>
  <c r="C26" i="14"/>
  <c r="D26" i="14"/>
  <c r="E26" i="14"/>
  <c r="F26" i="14"/>
  <c r="G26" i="14"/>
  <c r="H26" i="14"/>
  <c r="I26" i="14"/>
  <c r="J26" i="14"/>
  <c r="B27" i="14"/>
  <c r="C27" i="14"/>
  <c r="D27" i="14"/>
  <c r="E27" i="14"/>
  <c r="F27" i="14"/>
  <c r="G27" i="14"/>
  <c r="H27" i="14"/>
  <c r="I27" i="14"/>
  <c r="J27" i="14"/>
  <c r="B28" i="14"/>
  <c r="B29" i="14"/>
  <c r="C29" i="14"/>
  <c r="D29" i="14"/>
  <c r="E29" i="14"/>
  <c r="F29" i="14"/>
  <c r="G29" i="14"/>
  <c r="H29" i="14"/>
  <c r="I29" i="14"/>
  <c r="J29" i="14"/>
  <c r="B30" i="14"/>
  <c r="B32" i="14"/>
  <c r="C32" i="14"/>
  <c r="D32" i="14"/>
  <c r="E32" i="14"/>
  <c r="F32" i="14"/>
  <c r="G32" i="14"/>
  <c r="H32" i="14"/>
  <c r="I32" i="14"/>
  <c r="J32" i="14"/>
  <c r="B33" i="14"/>
  <c r="C33" i="14"/>
  <c r="D33" i="14"/>
  <c r="E33" i="14"/>
  <c r="F33" i="14"/>
  <c r="G33" i="14"/>
  <c r="H33" i="14"/>
  <c r="I33" i="14"/>
  <c r="J33" i="14"/>
  <c r="B34" i="14"/>
  <c r="C34" i="14"/>
  <c r="D34" i="14"/>
  <c r="E34" i="14"/>
  <c r="F34" i="14"/>
  <c r="G34" i="14"/>
  <c r="H34" i="14"/>
  <c r="I34" i="14"/>
  <c r="J34" i="14"/>
  <c r="B35" i="14"/>
  <c r="C35" i="14"/>
  <c r="D35" i="14"/>
  <c r="E35" i="14"/>
  <c r="F35" i="14"/>
  <c r="G35" i="14"/>
  <c r="H35" i="14"/>
  <c r="I35" i="14"/>
  <c r="J35" i="14"/>
  <c r="B36" i="14"/>
  <c r="C36" i="14"/>
  <c r="E36" i="14"/>
  <c r="G36" i="14"/>
  <c r="H36" i="14"/>
  <c r="I36" i="14"/>
  <c r="J36" i="14"/>
  <c r="B37" i="14"/>
  <c r="C37" i="14"/>
  <c r="D37" i="14"/>
  <c r="E37" i="14"/>
  <c r="G37" i="14"/>
  <c r="H37" i="14"/>
  <c r="I37" i="14"/>
  <c r="J37" i="14"/>
  <c r="B38" i="14"/>
  <c r="B40" i="14"/>
  <c r="C40" i="14"/>
  <c r="D40" i="14"/>
  <c r="E40" i="14"/>
  <c r="F40" i="14"/>
  <c r="G40" i="14"/>
  <c r="H40" i="14"/>
  <c r="I40" i="14"/>
  <c r="J40" i="14"/>
  <c r="B41" i="14"/>
  <c r="C41" i="14"/>
  <c r="D41" i="14"/>
  <c r="E41" i="14"/>
  <c r="F41" i="14"/>
  <c r="G41" i="14"/>
  <c r="H41" i="14"/>
  <c r="I41" i="14"/>
  <c r="J41" i="14"/>
  <c r="B42" i="14"/>
  <c r="C42" i="14"/>
  <c r="D42" i="14"/>
  <c r="H42" i="14"/>
  <c r="B43" i="14"/>
  <c r="C43" i="14"/>
  <c r="D43" i="14"/>
  <c r="G43" i="14"/>
  <c r="H43" i="14"/>
  <c r="B44" i="14"/>
  <c r="C44" i="14"/>
  <c r="D44" i="14"/>
  <c r="E44" i="14"/>
  <c r="F44" i="14"/>
  <c r="G44" i="14"/>
  <c r="H44" i="14"/>
  <c r="I44" i="14"/>
  <c r="J44" i="14"/>
  <c r="B45" i="14"/>
  <c r="B47" i="14"/>
  <c r="J68" i="18" l="1"/>
  <c r="J67" i="18" s="1"/>
  <c r="J45" i="14" s="1"/>
  <c r="E27" i="20"/>
  <c r="F27" i="20" s="1"/>
  <c r="B26" i="20"/>
  <c r="O114" i="20"/>
  <c r="I43" i="14"/>
  <c r="F22" i="20"/>
  <c r="H16" i="20"/>
  <c r="F19" i="14"/>
  <c r="O122" i="22"/>
  <c r="H68" i="18"/>
  <c r="H67" i="18" s="1"/>
  <c r="H45" i="14" s="1"/>
  <c r="F68" i="18"/>
  <c r="F67" i="18" s="1"/>
  <c r="F45" i="14" s="1"/>
  <c r="Y112" i="20"/>
  <c r="Y110" i="20"/>
  <c r="G90" i="20"/>
  <c r="E31" i="20"/>
  <c r="F31" i="20" s="1"/>
  <c r="E24" i="20"/>
  <c r="H22" i="20"/>
  <c r="B28" i="20"/>
  <c r="F42" i="14"/>
  <c r="E30" i="20"/>
  <c r="H30" i="20" s="1"/>
  <c r="C28" i="20"/>
  <c r="E68" i="18"/>
  <c r="E67" i="18" s="1"/>
  <c r="E45" i="14" s="1"/>
  <c r="C68" i="18"/>
  <c r="C67" i="18" s="1"/>
  <c r="C45" i="14" s="1"/>
  <c r="E42" i="14"/>
  <c r="C22" i="14"/>
  <c r="Y111" i="20"/>
  <c r="B25" i="20"/>
  <c r="E21" i="20"/>
  <c r="B24" i="20"/>
  <c r="B21" i="20" s="1"/>
  <c r="H20" i="20"/>
  <c r="H18" i="20"/>
  <c r="Y113" i="20"/>
  <c r="H102" i="20"/>
  <c r="H27" i="20"/>
  <c r="H26" i="20"/>
  <c r="C25" i="20"/>
  <c r="D14" i="20"/>
  <c r="C16" i="14"/>
  <c r="D36" i="14"/>
  <c r="C20" i="14"/>
  <c r="F36" i="14"/>
  <c r="J121" i="22" s="1"/>
  <c r="O121" i="22" s="1"/>
  <c r="F35" i="19"/>
  <c r="F38" i="14" s="1"/>
  <c r="J20" i="14"/>
  <c r="F21" i="14"/>
  <c r="H24" i="20"/>
  <c r="B32" i="20"/>
  <c r="F22" i="14"/>
  <c r="F20" i="14"/>
  <c r="J32" i="22" s="1"/>
  <c r="O32" i="22" s="1"/>
  <c r="J114" i="20"/>
  <c r="B53" i="20"/>
  <c r="B52" i="20"/>
  <c r="B51" i="20"/>
  <c r="B50" i="20"/>
  <c r="B49" i="20"/>
  <c r="B48" i="20"/>
  <c r="B47" i="20"/>
  <c r="B46" i="20"/>
  <c r="B31" i="20"/>
  <c r="D30" i="20"/>
  <c r="F30" i="20" s="1"/>
  <c r="D26" i="20"/>
  <c r="D24" i="20"/>
  <c r="D32" i="20" s="1"/>
  <c r="F23" i="20"/>
  <c r="E15" i="20"/>
  <c r="C53" i="20"/>
  <c r="C52" i="20"/>
  <c r="C51" i="20"/>
  <c r="C50" i="20"/>
  <c r="C49" i="20"/>
  <c r="C48" i="20"/>
  <c r="C47" i="20"/>
  <c r="C46" i="20"/>
  <c r="D17" i="14"/>
  <c r="J17" i="14"/>
  <c r="H17" i="14"/>
  <c r="D16" i="14"/>
  <c r="Y114" i="20" l="1"/>
  <c r="H31" i="20"/>
  <c r="J123" i="22"/>
  <c r="O123" i="22" s="1"/>
  <c r="I17" i="14"/>
  <c r="B29" i="20"/>
  <c r="H21" i="20"/>
  <c r="B54" i="20"/>
  <c r="D28" i="20"/>
  <c r="D25" i="20" s="1"/>
  <c r="E28" i="20"/>
  <c r="C54" i="20"/>
  <c r="H16" i="14"/>
  <c r="E17" i="14"/>
  <c r="G17" i="14"/>
  <c r="J16" i="14"/>
  <c r="C17" i="14"/>
  <c r="F15" i="20"/>
  <c r="E14" i="20"/>
  <c r="H15" i="20"/>
  <c r="F26" i="20"/>
  <c r="F24" i="20"/>
  <c r="D21" i="20"/>
  <c r="D18" i="14"/>
  <c r="F16" i="14" l="1"/>
  <c r="J15" i="22" s="1"/>
  <c r="O15" i="22" s="1"/>
  <c r="I18" i="14"/>
  <c r="H18" i="14"/>
  <c r="F28" i="20"/>
  <c r="E25" i="20"/>
  <c r="H25" i="20" s="1"/>
  <c r="H28" i="20"/>
  <c r="C18" i="14"/>
  <c r="C23" i="14"/>
  <c r="F17" i="14"/>
  <c r="J16" i="22" s="1"/>
  <c r="O16" i="22" s="1"/>
  <c r="G18" i="14"/>
  <c r="E18" i="14"/>
  <c r="J18" i="14"/>
  <c r="F14" i="20"/>
  <c r="E32" i="20"/>
  <c r="H14" i="20"/>
  <c r="E29" i="20"/>
  <c r="D29" i="20"/>
  <c r="F21" i="20"/>
  <c r="E23" i="14"/>
  <c r="J23" i="14"/>
  <c r="D23" i="14"/>
  <c r="I23" i="14"/>
  <c r="G23" i="14"/>
  <c r="H23" i="14"/>
  <c r="F25" i="20" l="1"/>
  <c r="C9" i="18"/>
  <c r="F18" i="14"/>
  <c r="J27" i="22" s="1"/>
  <c r="O27" i="22" s="1"/>
  <c r="H29" i="20"/>
  <c r="F29" i="20"/>
  <c r="H32" i="20"/>
  <c r="F32" i="20"/>
  <c r="H9" i="18"/>
  <c r="H30" i="14"/>
  <c r="H28" i="14"/>
  <c r="G9" i="18"/>
  <c r="G30" i="14"/>
  <c r="G28" i="14"/>
  <c r="I9" i="18"/>
  <c r="I30" i="14"/>
  <c r="I28" i="14"/>
  <c r="D9" i="18"/>
  <c r="D30" i="14"/>
  <c r="D28" i="14"/>
  <c r="J9" i="18"/>
  <c r="J30" i="14"/>
  <c r="J28" i="14"/>
  <c r="E9" i="18"/>
  <c r="E30" i="14"/>
  <c r="E28" i="14"/>
  <c r="F23" i="14"/>
  <c r="C28" i="14" l="1"/>
  <c r="C30" i="14"/>
  <c r="F9" i="18"/>
  <c r="F30" i="14"/>
  <c r="J106" i="22" s="1"/>
  <c r="O106" i="22" s="1"/>
  <c r="F28" i="14"/>
  <c r="J103" i="22" s="1"/>
  <c r="O103" i="22" s="1"/>
</calcChain>
</file>

<file path=xl/comments1.xml><?xml version="1.0" encoding="utf-8"?>
<comments xmlns="http://schemas.openxmlformats.org/spreadsheetml/2006/main">
  <authors>
    <author>КДП_ПК9</author>
    <author>Александр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  <charset val="204"/>
          </rPr>
          <t>КДП_ПК9:</t>
        </r>
        <r>
          <rPr>
            <sz val="9"/>
            <color indexed="81"/>
            <rFont val="Tahoma"/>
            <family val="2"/>
            <charset val="204"/>
          </rPr>
          <t xml:space="preserve">
274,3 залишки мед субвенції
</t>
        </r>
      </text>
    </comment>
    <comment ref="C2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274,3 залишки мед субвенції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=4090 4-ДС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КДП_ПК9</author>
  </authors>
  <commentList>
    <comment ref="M24" authorId="0" shapeId="0">
      <text>
        <r>
          <rPr>
            <b/>
            <sz val="9"/>
            <color indexed="81"/>
            <rFont val="Tahoma"/>
            <family val="2"/>
            <charset val="204"/>
          </rPr>
          <t>КДП_ПК9: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<sst xmlns="http://schemas.openxmlformats.org/spreadsheetml/2006/main" count="964" uniqueCount="492">
  <si>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</si>
  <si>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</si>
  <si>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</si>
  <si>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</si>
  <si>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</si>
  <si>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</si>
  <si>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</si>
  <si>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</si>
  <si>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</si>
  <si>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Плановий рік (усього)</t>
  </si>
  <si>
    <t>витрати на страхові послуги</t>
  </si>
  <si>
    <t>витрати на аудиторські послуги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</si>
  <si>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</si>
  <si>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</si>
  <si>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</si>
  <si>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</si>
  <si>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</si>
  <si>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</si>
  <si>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</si>
  <si>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</si>
  <si>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</si>
  <si>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</si>
  <si>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</si>
  <si>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</si>
  <si>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</si>
  <si>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</si>
  <si>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</si>
  <si>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</si>
  <si>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</si>
  <si>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</si>
  <si>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</si>
  <si>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</si>
  <si>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</si>
  <si>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</si>
  <si>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</si>
  <si>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</si>
  <si>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</si>
  <si>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</si>
  <si>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</si>
  <si>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</si>
  <si>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</si>
  <si>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</si>
  <si>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</si>
  <si>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</si>
  <si>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</si>
  <si>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</si>
  <si>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</si>
  <si>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</si>
  <si>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</si>
  <si>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</si>
  <si>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</si>
  <si>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</si>
  <si>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</si>
  <si>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</si>
  <si>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</si>
  <si>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</si>
  <si>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</si>
  <si>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</si>
  <si>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</si>
  <si>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</si>
  <si>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</si>
  <si>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ІV </t>
  </si>
  <si>
    <t>за минулий рік</t>
  </si>
  <si>
    <t>за плановий рік</t>
  </si>
  <si>
    <t xml:space="preserve">ІІІ </t>
  </si>
  <si>
    <t xml:space="preserve">І </t>
  </si>
  <si>
    <t xml:space="preserve">ІІ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</si>
  <si>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</si>
  <si>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</si>
  <si>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</si>
  <si>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</si>
  <si>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</si>
  <si>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</si>
  <si>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</si>
  <si>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</si>
  <si>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</si>
  <si>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Заборгованість на останню дату</t>
  </si>
  <si>
    <t>Заборгованість за кредитами на кінець ______ року</t>
  </si>
  <si>
    <t>Бюджетне фінансування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</si>
  <si>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</si>
  <si>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</si>
  <si>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</si>
  <si>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</si>
  <si>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</si>
  <si>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</si>
  <si>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</si>
  <si>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</si>
  <si>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І. Формування фінансових результатів</t>
  </si>
  <si>
    <t>плата за користування надрами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</si>
  <si>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</si>
  <si>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</si>
  <si>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</si>
  <si>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</si>
  <si>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</si>
  <si>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</si>
  <si>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</si>
  <si>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</si>
  <si>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</si>
  <si>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</si>
  <si>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Інші витрати (розшифрувати)</t>
  </si>
  <si>
    <t>Інші фонди (розшифрувати)</t>
  </si>
  <si>
    <t>Усього витрат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</si>
  <si>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</si>
  <si>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</si>
  <si>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</si>
  <si>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</si>
  <si>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</si>
  <si>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</si>
  <si>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</si>
  <si>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</si>
  <si>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</si>
  <si>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</si>
  <si>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</si>
  <si>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</si>
  <si>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</si>
  <si>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</si>
  <si>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</si>
  <si>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Плановий 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</si>
  <si>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</si>
  <si>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</si>
  <si>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</si>
  <si>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</si>
  <si>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</si>
  <si>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</si>
  <si>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</si>
  <si>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</si>
  <si>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</si>
  <si>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</si>
  <si>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</si>
  <si>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</si>
  <si>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</si>
  <si>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</si>
  <si>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</si>
  <si>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</si>
  <si>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</si>
  <si>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</si>
  <si>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</si>
  <si>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</si>
  <si>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</si>
  <si>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</si>
  <si>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</si>
  <si>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</si>
  <si>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 xml:space="preserve">Вплив зміни валютних курсів на залишок коштів </t>
  </si>
  <si>
    <t>погашення податкового боргу, у тому числі:</t>
  </si>
  <si>
    <t>Собівартість реалізованої продукції (товарів, робіт, послуг)</t>
  </si>
  <si>
    <t xml:space="preserve">Прибуток (збиток) від звичайної діяльності до оподаткування </t>
  </si>
  <si>
    <t>Коригування на: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</si>
  <si>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</si>
  <si>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</si>
  <si>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</si>
  <si>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</si>
  <si>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</si>
  <si>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</si>
  <si>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</si>
  <si>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</si>
  <si>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 xml:space="preserve">І  </t>
  </si>
  <si>
    <t xml:space="preserve">ІІ  </t>
  </si>
  <si>
    <t xml:space="preserve">ІІІ  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</si>
  <si>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</si>
  <si>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</si>
  <si>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</si>
  <si>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</si>
  <si>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</si>
  <si>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</si>
  <si>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</si>
  <si>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</si>
  <si>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</si>
  <si>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</si>
  <si>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</si>
  <si>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</si>
  <si>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</si>
  <si>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</si>
  <si>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</si>
  <si>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Капітальні інвестиції</t>
  </si>
  <si>
    <t>IV. Капітальні інвестиції</t>
  </si>
  <si>
    <t xml:space="preserve">IV. Капітальні інвестиції </t>
  </si>
  <si>
    <t>Інші операційні доходи (розшифрувати), у тому числі:</t>
  </si>
  <si>
    <t>курсові різниці</t>
  </si>
  <si>
    <t>2145/1</t>
  </si>
  <si>
    <t>2145/2</t>
  </si>
  <si>
    <t>4010</t>
  </si>
  <si>
    <t>Адміністративні витрати, у тому числі:</t>
  </si>
  <si>
    <t>Витрати на збут, у тому числі: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</si>
  <si>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</si>
  <si>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</si>
  <si>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</si>
  <si>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Найменування об’єкта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</si>
  <si>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</si>
  <si>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</si>
  <si>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</si>
  <si>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>_________________________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</si>
  <si>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</si>
  <si>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</si>
  <si>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</si>
  <si>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</si>
  <si>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</si>
  <si>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</si>
  <si>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</si>
  <si>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</si>
  <si>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I. Формування фінансових результатів</t>
  </si>
  <si>
    <t>Надходження</t>
  </si>
  <si>
    <t xml:space="preserve">Надходження </t>
  </si>
  <si>
    <t>Витрати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</si>
  <si>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</si>
  <si>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</si>
  <si>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</si>
  <si>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</si>
  <si>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</si>
  <si>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</si>
  <si>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</si>
  <si>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</si>
  <si>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</si>
  <si>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</si>
  <si>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</si>
  <si>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</si>
  <si>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</si>
  <si>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</si>
  <si>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</si>
  <si>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</si>
  <si>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</si>
  <si>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</si>
  <si>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</si>
  <si>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</si>
  <si>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</si>
  <si>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</si>
  <si>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</si>
  <si>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</si>
  <si>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               (підпис)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</si>
  <si>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</si>
  <si>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</si>
  <si>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 xml:space="preserve">      Загальна інформація про підприємство (резюме)</t>
  </si>
  <si>
    <t>Мета використання</t>
  </si>
  <si>
    <t>План з повернення коштів</t>
  </si>
  <si>
    <t>План із залучення коштів</t>
  </si>
  <si>
    <t xml:space="preserve">Доходи </t>
  </si>
  <si>
    <t>Дохід (виручка) від реалізації продукції (товарів, робіт, послуг)</t>
  </si>
  <si>
    <t>Податок на додану вартість</t>
  </si>
  <si>
    <t>Інші вирахування з доходу (розшифрувати)</t>
  </si>
  <si>
    <t>від комерційної діяльності</t>
  </si>
  <si>
    <t>від державного бюджету</t>
  </si>
  <si>
    <t>від місцевого бюджету</t>
  </si>
  <si>
    <t xml:space="preserve">      3. Діючі фінансові зобов'язання підприємства</t>
  </si>
  <si>
    <t xml:space="preserve">      4. Інформація щодо отримання та повернення залучених коштів</t>
  </si>
  <si>
    <t xml:space="preserve">      7. Джерела капітальних інвестицій</t>
  </si>
  <si>
    <t xml:space="preserve">Плановий рік </t>
  </si>
  <si>
    <t>Сума, валюта за договорами</t>
  </si>
  <si>
    <t>Заборгованість за кредитами на початок _______року</t>
  </si>
  <si>
    <t>у тому числі за їх видами</t>
  </si>
  <si>
    <t xml:space="preserve">I </t>
  </si>
  <si>
    <t>II</t>
  </si>
  <si>
    <t>III</t>
  </si>
  <si>
    <t>IV</t>
  </si>
  <si>
    <t>I</t>
  </si>
  <si>
    <t>ФІНАНСОВИЙ ПЛАН КОМУНАЛЬНОГО ПІДПРИЄМСТВА</t>
  </si>
  <si>
    <t>Інші операційні доходи</t>
  </si>
  <si>
    <t>Інші доходи</t>
  </si>
  <si>
    <t>Інші витрати</t>
  </si>
  <si>
    <t>Валовий: прибуток / збиток</t>
  </si>
  <si>
    <t>Фінансовий результат від операційної діяльності: прибуток/збиток</t>
  </si>
  <si>
    <t>Фінансовий результат до оподаткування: прибуток/збиток</t>
  </si>
  <si>
    <t>Фінансовий результат до оподаткування:  прибуток/збиток</t>
  </si>
  <si>
    <t>Чистий  фінансовий результат: прибуток/збиток</t>
  </si>
  <si>
    <t>Відрахування частини чистого прибутку до міського бюджету</t>
  </si>
  <si>
    <t xml:space="preserve">      2. Інформація про бізнес підприємства (код рядка 1040 "чистий дохід від реалізації продукції ( товарів, робіт, послуг)" фінансового плану)</t>
  </si>
  <si>
    <t xml:space="preserve">       5. Витрати, пов'язані з використанням власних службових автомобілів (у складі адміністративних витрат, рядок 1081)</t>
  </si>
  <si>
    <t xml:space="preserve">       6. Витрати на оренду службових автомобілів (у складі адміністративних витрат, рядок 1082)</t>
  </si>
  <si>
    <t>Доходи від фінансової діяльності</t>
  </si>
  <si>
    <t>Витрати від фінансової діяльності</t>
  </si>
  <si>
    <t xml:space="preserve">      8.  Капітальне будівництво (рядок 4010 таблиці 4)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</si>
  <si>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</si>
  <si>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</si>
  <si>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освоєння капітальних вкладень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</si>
  <si>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</si>
  <si>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</si>
  <si>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</si>
  <si>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</si>
  <si>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</si>
  <si>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фінансування капітальних інвестицій (оплата грошовими коштами), усього</t>
  </si>
  <si>
    <t>власні кошти</t>
  </si>
  <si>
    <t>кредитні кошти</t>
  </si>
  <si>
    <t>інші джерела (зазначити джерело)</t>
  </si>
  <si>
    <t>у тому числі</t>
  </si>
  <si>
    <t>тис.грн. (без ПДВ)</t>
  </si>
  <si>
    <t>Прогноз на поточний рік</t>
  </si>
  <si>
    <t xml:space="preserve">Зокрема за кварталами </t>
  </si>
  <si>
    <t>Плановий рік до прогнозу на поточний рік, %</t>
  </si>
  <si>
    <t>Фактичний показник поточного року за останній звітний період</t>
  </si>
  <si>
    <t>Фінансовий план поточного року</t>
  </si>
  <si>
    <t>План поточного року</t>
  </si>
  <si>
    <t>Плановий рік до факту минулого року, %</t>
  </si>
  <si>
    <t>Грошові кошти від операційної діяльності (розшифрувати)</t>
  </si>
  <si>
    <t>від надання платних послуг</t>
  </si>
  <si>
    <t>місцеві податки та збори (розшифрувати)(податок на землю та воду)</t>
  </si>
  <si>
    <t>інші платежі (розшифрувати)податок за метали</t>
  </si>
  <si>
    <t>Інші доходи (розшифрувати), у тому числі:бюджет розвитку</t>
  </si>
  <si>
    <t xml:space="preserve">Інші цілі (розшифрувати) Зміни </t>
  </si>
  <si>
    <t>Інші витрати (розшифрувати), у тому числі: (податки)</t>
  </si>
  <si>
    <t>комунальні послуги:</t>
  </si>
  <si>
    <t>в тому числі:</t>
  </si>
  <si>
    <t>опалення та гаряча вода</t>
  </si>
  <si>
    <t>водопостачання та водовідведення</t>
  </si>
  <si>
    <t>1058/1</t>
  </si>
  <si>
    <t>1058/2</t>
  </si>
  <si>
    <t>1058/11</t>
  </si>
  <si>
    <t>1058/12</t>
  </si>
  <si>
    <t>електроенергія</t>
  </si>
  <si>
    <t>медична субвенція з державного бюджету на здійснення переданих видатків у сфері охорони здоров'я (централізовані заходи з лікування хворих на цукровий та нецукровий діабет)</t>
  </si>
  <si>
    <t>субвенція з державного бюджету на відшкодування вартості лікарських засобів для лікування окремих захворювань</t>
  </si>
  <si>
    <t>субвенція з обласного бюджету на виконання обласної програми надання медичної допомоги хворим нефрологічного профілю</t>
  </si>
  <si>
    <t>субвенція з обласного бюджету на виконання обласної програми забезпечення трансплантованих хворих</t>
  </si>
  <si>
    <t>надходження від місцевого бюджету (крім надходжень на покриття вартості комунальних послуг та енергоносіїв, міських цільових програм)</t>
  </si>
  <si>
    <t>1011/1</t>
  </si>
  <si>
    <t>1012/1</t>
  </si>
  <si>
    <t>1012/2</t>
  </si>
  <si>
    <t>1012/3</t>
  </si>
  <si>
    <t>1012/4</t>
  </si>
  <si>
    <t>1012/5</t>
  </si>
  <si>
    <t>4050/1</t>
  </si>
  <si>
    <t>надання медичної допомоги за рахунок коштів від державного бюджету по договору з НСЗУ</t>
  </si>
  <si>
    <t>надання медичної допомоги за рахунок коштів від медичної субвенції з державного бюджету на здійснення переданих видатків у сфері охорони здоров'я (централізовані заходи з лікування хворих на цукровий та нецукровий діабет)</t>
  </si>
  <si>
    <t>надання медичної допомоги за рахунок коштів від субвенції з державного бюджету на відшкодування вартості лікарських засобів для лікування окремих захворювань</t>
  </si>
  <si>
    <t>надання медичної допомоги за рахунок коштів від місцевого бюджету на покриття вартості комунальних послуг та енергоносіїв надавача ПМД</t>
  </si>
  <si>
    <t>надання медичної допомоги за рахунок коштів від субвенції з обласного бюджету на виконання обласної програми надання медичної допомоги хворим нефрологічного профілю</t>
  </si>
  <si>
    <t>надання медичної допомоги за рахунок коштів від субвенції з обласного бюджету на виконання обласної програми забезпечення трансплантованих хворих</t>
  </si>
  <si>
    <t>надання медичної допомоги за рахунок коштів від місцевого бюджету (крім надходжень на покриття вартості комунальних послуг та енергоносіїв, міських цільових програм)</t>
  </si>
  <si>
    <t>надання платних послуг</t>
  </si>
  <si>
    <r>
      <t>Фактичний показник за _</t>
    </r>
    <r>
      <rPr>
        <u/>
        <sz val="14"/>
        <rFont val="Times New Roman"/>
        <family val="1"/>
        <charset val="204"/>
      </rPr>
      <t>2 півріччя 2017 року</t>
    </r>
    <r>
      <rPr>
        <sz val="14"/>
        <rFont val="Times New Roman"/>
        <family val="1"/>
        <charset val="204"/>
      </rPr>
      <t>_ (минулий рік)</t>
    </r>
  </si>
  <si>
    <r>
      <t>Плановий _</t>
    </r>
    <r>
      <rPr>
        <u/>
        <sz val="14"/>
        <rFont val="Times New Roman"/>
        <family val="1"/>
        <charset val="204"/>
      </rPr>
      <t>2 півріччя 2018</t>
    </r>
    <r>
      <rPr>
        <sz val="14"/>
        <rFont val="Times New Roman"/>
        <family val="1"/>
        <charset val="204"/>
      </rPr>
      <t>_року</t>
    </r>
  </si>
  <si>
    <r>
      <t>Плановий показник поточного                _</t>
    </r>
    <r>
      <rPr>
        <u/>
        <sz val="14"/>
        <rFont val="Times New Roman"/>
        <family val="1"/>
        <charset val="204"/>
      </rPr>
      <t>2 півріччя 2018</t>
    </r>
    <r>
      <rPr>
        <sz val="14"/>
        <rFont val="Times New Roman"/>
        <family val="1"/>
        <charset val="204"/>
      </rPr>
      <t>_ року</t>
    </r>
  </si>
  <si>
    <t>1102/1</t>
  </si>
  <si>
    <t>1102/11</t>
  </si>
  <si>
    <t>1102/12</t>
  </si>
  <si>
    <t>1102/13</t>
  </si>
  <si>
    <t>1125/1</t>
  </si>
  <si>
    <t>1125/11</t>
  </si>
  <si>
    <t>1125/12</t>
  </si>
  <si>
    <t>1125/13</t>
  </si>
  <si>
    <t>1125/2</t>
  </si>
  <si>
    <t>1125/3</t>
  </si>
  <si>
    <t>1125/4</t>
  </si>
  <si>
    <t>1125/5</t>
  </si>
  <si>
    <r>
      <t>до фінансового плану на _</t>
    </r>
    <r>
      <rPr>
        <b/>
        <u/>
        <sz val="14"/>
        <rFont val="Times New Roman"/>
        <family val="1"/>
        <charset val="204"/>
      </rPr>
      <t>2 півріччя 2018</t>
    </r>
    <r>
      <rPr>
        <b/>
        <sz val="14"/>
        <rFont val="Times New Roman"/>
        <family val="1"/>
        <charset val="204"/>
      </rPr>
      <t>_ року</t>
    </r>
  </si>
  <si>
    <t>В. М. Коротун</t>
  </si>
  <si>
    <r>
      <t>___</t>
    </r>
    <r>
      <rPr>
        <u/>
        <sz val="14"/>
        <rFont val="Times New Roman"/>
        <family val="1"/>
        <charset val="204"/>
      </rPr>
      <t>КНП "Перший  Черкаський міський центр первинної медико-санітарної допомоги"</t>
    </r>
    <r>
      <rPr>
        <sz val="14"/>
        <rFont val="Times New Roman"/>
        <family val="1"/>
        <charset val="204"/>
      </rPr>
      <t>___</t>
    </r>
  </si>
  <si>
    <r>
      <t xml:space="preserve">Керівник </t>
    </r>
    <r>
      <rPr>
        <u/>
        <sz val="14"/>
        <rFont val="Times New Roman"/>
        <family val="1"/>
        <charset val="204"/>
      </rPr>
      <t xml:space="preserve"> </t>
    </r>
  </si>
  <si>
    <t xml:space="preserve"> </t>
  </si>
  <si>
    <t>надання медичної допомоги за рахунок коштів від міського бюджету на міські цільові програми (забезпечення інвалідів та дітей-інвалідів технічними засобами., забезпечення хворих на муковісцидоз)</t>
  </si>
  <si>
    <t>кількість продукції/             наданих послуг, одиниця виміру (осіб)</t>
  </si>
  <si>
    <t>медична субвенція</t>
  </si>
  <si>
    <t>1012/6</t>
  </si>
  <si>
    <t>1012/7</t>
  </si>
  <si>
    <t>1012/8</t>
  </si>
  <si>
    <t xml:space="preserve">                                (посада)</t>
  </si>
  <si>
    <t>дохід від оренди</t>
  </si>
  <si>
    <t>одержані гранти і дарунки, спонсорська і благодійна допомога</t>
  </si>
  <si>
    <t>дохід від реалізації майна та іншої господарської діяльності</t>
  </si>
  <si>
    <t>витрати на зв’язок та інтернет-послуги</t>
  </si>
  <si>
    <t>послуги з автомобільних перевезень</t>
  </si>
  <si>
    <t>послуги з прання і сухого чищення</t>
  </si>
  <si>
    <t>послуги з технічних випробувань, аналізу та консультування</t>
  </si>
  <si>
    <t>послуги з ремонту і технічного обслуговування медичного і високоточного обладнання</t>
  </si>
  <si>
    <t>послуги з ремонту і технічного обслуговування техніки</t>
  </si>
  <si>
    <t>ремонт, технічне обслуговування персональних комп’ютерів, офісного, телекомунікаційного та аудіовізуального обладнання, а також супутні послуги</t>
  </si>
  <si>
    <t>послуги у сфері розслідувань та охорони</t>
  </si>
  <si>
    <t>послуги пожежних і рятувальних служб</t>
  </si>
  <si>
    <t>технічне обслуговування ліфтів</t>
  </si>
  <si>
    <t>утилізація сміття та поводження зі сміттям</t>
  </si>
  <si>
    <t xml:space="preserve">міські цільові програми </t>
  </si>
  <si>
    <t>надходження на покриття вартості комунальних послуг та енергоносіїв</t>
  </si>
  <si>
    <t>договір НСЗУ</t>
  </si>
  <si>
    <t xml:space="preserve">витрати на сировину та основні матеріали </t>
  </si>
  <si>
    <t>комунальні послуги (адміністративні):</t>
  </si>
  <si>
    <t>комунальні послуги :</t>
  </si>
  <si>
    <t>Капітальний ремонт</t>
  </si>
  <si>
    <t>Реконструкція</t>
  </si>
  <si>
    <t>4050/2</t>
  </si>
  <si>
    <r>
      <t>кількість продукції/             наданих послуг, одиниця виміру (</t>
    </r>
    <r>
      <rPr>
        <sz val="14"/>
        <color indexed="12"/>
        <rFont val="Times New Roman"/>
        <family val="1"/>
        <charset val="204"/>
      </rPr>
      <t>осіб, ліжко-днів, відвідувань</t>
    </r>
    <r>
      <rPr>
        <sz val="14"/>
        <rFont val="Times New Roman"/>
        <family val="1"/>
        <charset val="204"/>
      </rPr>
      <t>)</t>
    </r>
  </si>
  <si>
    <t xml:space="preserve">надання медичної допомоги за рахунок коштів від медичної субвенції </t>
  </si>
  <si>
    <t>надання медичної допомоги за рахунок коштів від місцевого бюджету на покриття вартості комунальних послуг та енергоносіїв</t>
  </si>
  <si>
    <t>надання медичної допомоги за рахунок коштів від міського бюджету на міські цільові програми</t>
  </si>
  <si>
    <t xml:space="preserve">Міська Програма забезпечення туберкулінодіагностикою дитячого населення міста Черкаси </t>
  </si>
  <si>
    <t>Міська Програма забезпечення лікувальним харчуванням тяжкохворих та дітей, хворих на фенілкетонурію віком від 3 до 18 років</t>
  </si>
  <si>
    <t xml:space="preserve">Міська Програма забезпечення ефективним лікуванням дітей, хворих на ЮРА, цистиноз, двобічну нейросенсорну глухоту та хворих на муковісцидоз </t>
  </si>
  <si>
    <t>Міська Програма "Репродуктивне здоров’я "</t>
  </si>
  <si>
    <t>Міська Програма забезпечення осіб з інвалідністю та дітей з інвалідністю технічними засобами</t>
  </si>
  <si>
    <t>Міська Програма забезпечення техногенної та пожежної безпеки на території м. Черкаси, захисту населення від надзвичайних ситуацій техногенного, природного, соціального, воєнного характеру</t>
  </si>
  <si>
    <t>Міська Програма "Розвиток паліативної допомоги"</t>
  </si>
  <si>
    <t>1012/21</t>
  </si>
  <si>
    <t>1012/22</t>
  </si>
  <si>
    <t>1012/23</t>
  </si>
  <si>
    <t>1012/24</t>
  </si>
  <si>
    <t>1012/25</t>
  </si>
  <si>
    <t>1012/26</t>
  </si>
  <si>
    <t>1012/27</t>
  </si>
  <si>
    <t>Бюджетне фінансування (бюджет розвитку)</t>
  </si>
  <si>
    <t>послуги сторонніх організацій</t>
  </si>
  <si>
    <t>1102/2</t>
  </si>
  <si>
    <t>1102/3</t>
  </si>
  <si>
    <t>1102/4</t>
  </si>
  <si>
    <t>відшкодування пільгових пенсій при достроковому виході на пенсію</t>
  </si>
  <si>
    <t>оплата послуг (крім комунальних)</t>
  </si>
  <si>
    <t>предмети, матеріали, обладнання та інвентар</t>
  </si>
  <si>
    <t>придбання обладнання і предметів довгострокового користування</t>
  </si>
  <si>
    <t>1125/6</t>
  </si>
  <si>
    <t>1125/</t>
  </si>
  <si>
    <t xml:space="preserve">інші поточні видатки </t>
  </si>
  <si>
    <t>1058/3</t>
  </si>
  <si>
    <t>КНП "Черкаська міська консультативно-діагностична поліклініка"</t>
  </si>
  <si>
    <t>Придбання обладнання і предметів довгострокового користування</t>
  </si>
  <si>
    <t>заправка картриджів</t>
  </si>
  <si>
    <t>закупівля МШП</t>
  </si>
  <si>
    <r>
      <t xml:space="preserve">Директор </t>
    </r>
    <r>
      <rPr>
        <sz val="14"/>
        <rFont val="Times New Roman"/>
        <family val="1"/>
        <charset val="204"/>
      </rPr>
      <t>_____________________________________</t>
    </r>
  </si>
  <si>
    <t>_____________В.І. Свириденко_________________________</t>
  </si>
  <si>
    <r>
      <t xml:space="preserve">Директор </t>
    </r>
    <r>
      <rPr>
        <sz val="18"/>
        <rFont val="Times New Roman"/>
        <family val="1"/>
        <charset val="204"/>
      </rPr>
      <t>____________</t>
    </r>
  </si>
  <si>
    <t>_________В.І. Свириденко</t>
  </si>
  <si>
    <t>до фінансового плану на 2020 рік</t>
  </si>
  <si>
    <r>
      <t xml:space="preserve">Фактичний показник за </t>
    </r>
    <r>
      <rPr>
        <u/>
        <sz val="14"/>
        <color indexed="12"/>
        <rFont val="Times New Roman"/>
        <family val="1"/>
        <charset val="204"/>
      </rPr>
      <t>2018</t>
    </r>
    <r>
      <rPr>
        <sz val="14"/>
        <rFont val="Times New Roman"/>
        <family val="1"/>
        <charset val="204"/>
      </rPr>
      <t xml:space="preserve"> рік (минулий рік)</t>
    </r>
  </si>
  <si>
    <r>
      <t xml:space="preserve">Плановий показник поточного </t>
    </r>
    <r>
      <rPr>
        <u/>
        <sz val="14"/>
        <color indexed="12"/>
        <rFont val="Times New Roman"/>
        <family val="1"/>
        <charset val="204"/>
      </rPr>
      <t>2019</t>
    </r>
    <r>
      <rPr>
        <sz val="14"/>
        <rFont val="Times New Roman"/>
        <family val="1"/>
        <charset val="204"/>
      </rPr>
      <t xml:space="preserve"> року</t>
    </r>
  </si>
  <si>
    <r>
      <t>Плановий</t>
    </r>
    <r>
      <rPr>
        <u/>
        <sz val="14"/>
        <color indexed="12"/>
        <rFont val="Times New Roman"/>
        <family val="1"/>
        <charset val="204"/>
      </rPr>
      <t xml:space="preserve">_2020 </t>
    </r>
    <r>
      <rPr>
        <sz val="14"/>
        <rFont val="Times New Roman"/>
        <family val="1"/>
        <charset val="204"/>
      </rPr>
      <t>року</t>
    </r>
  </si>
  <si>
    <t>на 2020 рік</t>
  </si>
  <si>
    <t>витрати на основні матеріали та послуги</t>
  </si>
  <si>
    <t>плата за послуги, що надаються згідно з основною діяльністю</t>
  </si>
  <si>
    <t>Покривання підлоги та стін</t>
  </si>
  <si>
    <t>Факт 2015 року</t>
  </si>
  <si>
    <t>Факт 2016 року</t>
  </si>
  <si>
    <t>Зміни</t>
  </si>
  <si>
    <t>Пояснення</t>
  </si>
  <si>
    <t>збільшення цін на послуги в зв'язку з підвищенням розміру заробітної плати працівників</t>
  </si>
  <si>
    <t xml:space="preserve">оплата електроенергії на освітлення міста </t>
  </si>
  <si>
    <t>збільшення через визначення виконавця надання послуг з поточного ремонту МЗО, яий є платником ПДВ</t>
  </si>
  <si>
    <t>підвищення заробітної плати для дотримання норм Територіальної угоди на 2020-2022 роки</t>
  </si>
  <si>
    <t>витрати, що здійснюються для підтримання об’єкта в робочому стані (проведення ремонту, техогляду, нагляду, обсл. тощо)</t>
  </si>
  <si>
    <t>зменшено витрати на придбання матеріалів так як на складі підприємства є металеві конструкції після демонтажу обладнання, які придатні для подальшого використання</t>
  </si>
  <si>
    <t>проведено процедуру закупівлі, роботи виконує підрядник, що є платником ПДВ</t>
  </si>
  <si>
    <t>зв'язок</t>
  </si>
  <si>
    <t>послуги з поточного ремонту мереж зовнішнього освітлення міста</t>
  </si>
  <si>
    <t>амортизаційні відрахування</t>
  </si>
  <si>
    <t>оренда матеріальних активів</t>
  </si>
  <si>
    <t>пеня</t>
  </si>
  <si>
    <t>організаційно-технічні послуги (програмне забезпечення)</t>
  </si>
  <si>
    <t>консльтаційні послуги проведення процедур закупівель</t>
  </si>
  <si>
    <t>штрафи, пені та судові збори</t>
  </si>
  <si>
    <t>податок на землю</t>
  </si>
  <si>
    <t>податок на нерухомість</t>
  </si>
  <si>
    <t xml:space="preserve">додатково в зв'язку з передачею на баланс будівлі по вул. Героїв Майдану, 3/2 </t>
  </si>
  <si>
    <t>податок на воду</t>
  </si>
  <si>
    <t>послуги архіваріуса</t>
  </si>
  <si>
    <t>підписка</t>
  </si>
  <si>
    <t>ремонт комп'ютерів, заправка катріджів</t>
  </si>
  <si>
    <t>довідки для участі в конкурсних торгах, внесення змін до установчих документів</t>
  </si>
  <si>
    <t>реєстраційні дії, пов'язані з передачею на баланс будівлі по вул. Героїв Майдану, 3/2</t>
  </si>
  <si>
    <t>вивезення ТПВ</t>
  </si>
  <si>
    <t>медогляд</t>
  </si>
  <si>
    <t>ТО автомобілів, запасні частини</t>
  </si>
  <si>
    <t>придбання двох комплектів шин для автомобілів</t>
  </si>
  <si>
    <t>витрати на конверти, марки, папір, канцтовари</t>
  </si>
  <si>
    <t>банківські послуги</t>
  </si>
  <si>
    <t>витрати на зберігання та упаковку</t>
  </si>
  <si>
    <t>амортизація об'єктів вуличної мережі</t>
  </si>
  <si>
    <t>вибуття матеріальних активів</t>
  </si>
  <si>
    <t>фінансова пітримка балансоутримувача з місцевого бюджету, в т. ч. на:</t>
  </si>
  <si>
    <t>суміжні послуги з утримання мереж зовнішнього освітлення та матеріальних цінностей, а саме:</t>
  </si>
  <si>
    <t xml:space="preserve"> 1/1</t>
  </si>
  <si>
    <t>нагляд за станом мереж та устаткуванням</t>
  </si>
  <si>
    <t xml:space="preserve"> 1/1/1</t>
  </si>
  <si>
    <t>дотримання норм Територіальної угоди на 2020-2022р.</t>
  </si>
  <si>
    <t>послуги пульту управління зовнішнім освітленням міста</t>
  </si>
  <si>
    <t xml:space="preserve"> 1/2</t>
  </si>
  <si>
    <t>параметризація приладів обліку</t>
  </si>
  <si>
    <t xml:space="preserve"> 1/4</t>
  </si>
  <si>
    <t>поточний ремонт мереж зовнішнього освітлення міста</t>
  </si>
  <si>
    <t xml:space="preserve"> 1/3</t>
  </si>
  <si>
    <t>проведено процедуру закупівлі, укладено договір на зазначену суму</t>
  </si>
  <si>
    <t>нагляд за станом устаткування світлофорних об'єктів</t>
  </si>
  <si>
    <t>Інші доходи (розшифрувати), у тому числі:</t>
  </si>
  <si>
    <t>дооцінка матеріальних активів</t>
  </si>
  <si>
    <t>безоплатна передача основних засобів</t>
  </si>
  <si>
    <t>4</t>
  </si>
  <si>
    <t>Інші витрати (розшифрувати), у тому числі:</t>
  </si>
  <si>
    <t>штрафні санкції</t>
  </si>
  <si>
    <t>резерв відпусток</t>
  </si>
  <si>
    <t xml:space="preserve">Порівняльна таблиця змін
до фінансового плану КНП "Черкаська міська консультативно-діагностична поліклініка" 
на 2020 рік 
</t>
  </si>
  <si>
    <t xml:space="preserve">Директор </t>
  </si>
  <si>
    <t>В.І. Свириденко</t>
  </si>
  <si>
    <t xml:space="preserve">       (підпис)   </t>
  </si>
  <si>
    <t>-</t>
  </si>
  <si>
    <t xml:space="preserve">(ініціали, прізвище)    </t>
  </si>
  <si>
    <t>Заключені договори з НСЗУ за програмою медичних гарантій на "Медична допомога, яка надається мобільними медичними бригадами, що створені для реагування на гостру респіраторну хворобу COVID-19, спричинену коронавірусом SARS-CoV-2" та "Перехідне фінансове забезпечення комплексного надання медичних послуг в частині умов , які застосовуються з 1 вересня 2020 року ". Також було виділено кошти з міського бюджету на закупівлю ЗІЗ для подолання COVID-19.</t>
  </si>
  <si>
    <t>Ренгенологічна установка згідно договору має закуповуватись в жовтні 2020 року.</t>
  </si>
  <si>
    <t>0,0</t>
  </si>
  <si>
    <t>Заклад є некомерційним підприєсмством, а також не отримує прибутку.</t>
  </si>
  <si>
    <t>Відхилення відбулось у звязку з додатковими доплатами за надання допомоги з ліквідації  COVID-19, спричинену коронавірусом SARS-CoV-2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</si>
</sst>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г_р_н_._-;\-* #,##0.00\ _г_р_н_._-;_-* &quot;-&quot;??\ _г_р_н_._-;_-@_-"/>
    <numFmt numFmtId="170" formatCode="0.0"/>
    <numFmt numFmtId="171" formatCode="#,##0.0"/>
    <numFmt numFmtId="172" formatCode="###\ ##0.000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#,##0.0_ ;[Red]\-#,##0.0\ "/>
    <numFmt numFmtId="177" formatCode="0.0;\(0.0\);\ ;\-"/>
    <numFmt numFmtId="178" formatCode="dd\.mm\.yyyy;@"/>
    <numFmt numFmtId="179" formatCode="#,##0.0000"/>
    <numFmt numFmtId="180" formatCode="#,##0.000"/>
  </numFmts>
  <fonts count="9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9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u/>
      <sz val="14"/>
      <color indexed="12"/>
      <name val="Times New Roman"/>
      <family val="1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i/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6"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2" borderId="0" applyNumberFormat="0" applyBorder="0" applyAlignment="0" applyProtection="0"/>
    <xf numFmtId="0" fontId="14" fillId="12" borderId="0" applyNumberFormat="0" applyBorder="0" applyAlignment="0" applyProtection="0"/>
    <xf numFmtId="0" fontId="32" fillId="9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0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5" fillId="3" borderId="0" applyNumberFormat="0" applyBorder="0" applyAlignment="0" applyProtection="0"/>
    <xf numFmtId="0" fontId="17" fillId="20" borderId="1" applyNumberFormat="0" applyAlignment="0" applyProtection="0"/>
    <xf numFmtId="0" fontId="22" fillId="21" borderId="2" applyNumberFormat="0" applyAlignment="0" applyProtection="0"/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169" fontId="11" fillId="0" borderId="0" applyFont="0" applyFill="0" applyBorder="0" applyAlignment="0" applyProtection="0"/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0" fontId="26" fillId="0" borderId="0" applyNumberFormat="0" applyFill="0" applyBorder="0" applyAlignment="0" applyProtection="0"/>
    <xf numFmtId="172" fontId="34" fillId="0" borderId="0" applyAlignment="0">
      <alignment wrapText="1"/>
    </xf>
    <xf numFmtId="0" fontId="29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36" fillId="22" borderId="7">
      <alignment horizontal="left" vertical="center"/>
      <protection locked="0"/>
    </xf>
    <xf numFmtId="49" fontId="36" fillId="22" borderId="7">
      <alignment horizontal="left" vertical="center"/>
    </xf>
    <xf numFmtId="4" fontId="36" fillId="22" borderId="7">
      <alignment horizontal="right" vertical="center"/>
      <protection locked="0"/>
    </xf>
    <xf numFmtId="4" fontId="36" fillId="22" borderId="7">
      <alignment horizontal="right" vertical="center"/>
    </xf>
    <xf numFmtId="4" fontId="37" fillId="22" borderId="7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9" fontId="33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</xf>
    <xf numFmtId="4" fontId="33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" fontId="45" fillId="0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9" fontId="44" fillId="0" borderId="3">
      <alignment horizontal="left" vertical="center"/>
      <protection locked="0"/>
    </xf>
    <xf numFmtId="49" fontId="45" fillId="0" borderId="3">
      <alignment horizontal="left" vertical="center"/>
      <protection locked="0"/>
    </xf>
    <xf numFmtId="4" fontId="44" fillId="0" borderId="3">
      <alignment horizontal="right" vertical="center"/>
      <protection locked="0"/>
    </xf>
    <xf numFmtId="0" fontId="27" fillId="0" borderId="8" applyNumberFormat="0" applyFill="0" applyAlignment="0" applyProtection="0"/>
    <xf numFmtId="0" fontId="24" fillId="23" borderId="0" applyNumberFormat="0" applyBorder="0" applyAlignment="0" applyProtection="0"/>
    <xf numFmtId="0" fontId="11" fillId="0" borderId="0"/>
    <xf numFmtId="0" fontId="11" fillId="0" borderId="0"/>
    <xf numFmtId="0" fontId="11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8" fillId="26" borderId="3">
      <alignment horizontal="right" vertical="center"/>
      <protection locked="0"/>
    </xf>
    <xf numFmtId="4" fontId="48" fillId="27" borderId="3">
      <alignment horizontal="right" vertical="center"/>
      <protection locked="0"/>
    </xf>
    <xf numFmtId="4" fontId="48" fillId="28" borderId="3">
      <alignment horizontal="right" vertical="center"/>
      <protection locked="0"/>
    </xf>
    <xf numFmtId="0" fontId="16" fillId="20" borderId="10" applyNumberFormat="0" applyAlignment="0" applyProtection="0"/>
    <xf numFmtId="49" fontId="33" fillId="0" borderId="3">
      <alignment horizontal="left" vertical="center" wrapText="1"/>
      <protection locked="0"/>
    </xf>
    <xf numFmtId="49" fontId="33" fillId="0" borderId="3">
      <alignment horizontal="left" vertical="center" wrapText="1"/>
      <protection locked="0"/>
    </xf>
    <xf numFmtId="0" fontId="23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8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9" borderId="0" applyNumberFormat="0" applyBorder="0" applyAlignment="0" applyProtection="0"/>
    <xf numFmtId="0" fontId="14" fillId="19" borderId="0" applyNumberFormat="0" applyBorder="0" applyAlignment="0" applyProtection="0"/>
    <xf numFmtId="0" fontId="49" fillId="7" borderId="1" applyNumberFormat="0" applyAlignment="0" applyProtection="0"/>
    <xf numFmtId="0" fontId="15" fillId="7" borderId="1" applyNumberFormat="0" applyAlignment="0" applyProtection="0"/>
    <xf numFmtId="0" fontId="50" fillId="20" borderId="10" applyNumberFormat="0" applyAlignment="0" applyProtection="0"/>
    <xf numFmtId="0" fontId="16" fillId="20" borderId="10" applyNumberFormat="0" applyAlignment="0" applyProtection="0"/>
    <xf numFmtId="0" fontId="51" fillId="20" borderId="1" applyNumberFormat="0" applyAlignment="0" applyProtection="0"/>
    <xf numFmtId="0" fontId="17" fillId="20" borderId="1" applyNumberFormat="0" applyAlignment="0" applyProtection="0"/>
    <xf numFmtId="167" fontId="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2" fillId="0" borderId="4" applyNumberFormat="0" applyFill="0" applyAlignment="0" applyProtection="0"/>
    <xf numFmtId="0" fontId="18" fillId="0" borderId="4" applyNumberFormat="0" applyFill="0" applyAlignment="0" applyProtection="0"/>
    <xf numFmtId="0" fontId="53" fillId="0" borderId="5" applyNumberFormat="0" applyFill="0" applyAlignment="0" applyProtection="0"/>
    <xf numFmtId="0" fontId="19" fillId="0" borderId="5" applyNumberFormat="0" applyFill="0" applyAlignment="0" applyProtection="0"/>
    <xf numFmtId="0" fontId="54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21" fillId="0" borderId="11" applyNumberFormat="0" applyFill="0" applyAlignment="0" applyProtection="0"/>
    <xf numFmtId="0" fontId="56" fillId="21" borderId="2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24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11" fillId="0" borderId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8" fillId="3" borderId="0" applyNumberFormat="0" applyBorder="0" applyAlignment="0" applyProtection="0"/>
    <xf numFmtId="0" fontId="25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5" borderId="9" applyNumberFormat="0" applyFont="0" applyAlignment="0" applyProtection="0"/>
    <xf numFmtId="0" fontId="11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27" fillId="0" borderId="8" applyNumberFormat="0" applyFill="0" applyAlignment="0" applyProtection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64" fillId="0" borderId="0" applyFont="0" applyFill="0" applyBorder="0" applyAlignment="0" applyProtection="0"/>
    <xf numFmtId="175" fontId="6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5" fillId="4" borderId="0" applyNumberFormat="0" applyBorder="0" applyAlignment="0" applyProtection="0"/>
    <xf numFmtId="0" fontId="29" fillId="4" borderId="0" applyNumberFormat="0" applyBorder="0" applyAlignment="0" applyProtection="0"/>
    <xf numFmtId="177" fontId="66" fillId="22" borderId="12" applyFill="0" applyBorder="0">
      <alignment horizontal="center" vertical="center" wrapText="1"/>
      <protection locked="0"/>
    </xf>
    <xf numFmtId="172" fontId="67" fillId="0" borderId="0">
      <alignment wrapText="1"/>
    </xf>
    <xf numFmtId="172" fontId="34" fillId="0" borderId="0">
      <alignment wrapText="1"/>
    </xf>
  </cellStyleXfs>
  <cellXfs count="687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171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0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248" applyFont="1" applyFill="1" applyBorder="1" applyAlignment="1">
      <alignment horizontal="center" vertical="center" wrapText="1"/>
    </xf>
    <xf numFmtId="0" fontId="5" fillId="0" borderId="0" xfId="248" applyFont="1" applyFill="1" applyBorder="1" applyAlignment="1">
      <alignment vertical="center"/>
    </xf>
    <xf numFmtId="0" fontId="5" fillId="0" borderId="3" xfId="248" applyFont="1" applyFill="1" applyBorder="1" applyAlignment="1">
      <alignment horizontal="left" vertical="center" wrapText="1"/>
    </xf>
    <xf numFmtId="0" fontId="4" fillId="0" borderId="0" xfId="248" applyFont="1" applyFill="1" applyBorder="1" applyAlignment="1">
      <alignment vertical="center"/>
    </xf>
    <xf numFmtId="0" fontId="5" fillId="0" borderId="0" xfId="248" applyFont="1" applyFill="1" applyBorder="1" applyAlignment="1">
      <alignment horizontal="center" vertical="center"/>
    </xf>
    <xf numFmtId="0" fontId="4" fillId="0" borderId="0" xfId="2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8" applyFont="1" applyFill="1" applyBorder="1" applyAlignment="1">
      <alignment horizontal="center" vertical="center"/>
    </xf>
    <xf numFmtId="0" fontId="5" fillId="0" borderId="3" xfId="24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8" applyFont="1" applyFill="1" applyBorder="1" applyAlignment="1">
      <alignment horizontal="left" vertical="center" wrapText="1"/>
    </xf>
    <xf numFmtId="0" fontId="13" fillId="0" borderId="0" xfId="248" applyFont="1" applyFill="1"/>
    <xf numFmtId="0" fontId="5" fillId="0" borderId="0" xfId="248" applyFont="1" applyFill="1" applyBorder="1" applyAlignment="1">
      <alignment vertical="center" wrapText="1"/>
    </xf>
    <xf numFmtId="171" fontId="5" fillId="0" borderId="0" xfId="248" applyNumberFormat="1" applyFont="1" applyFill="1" applyBorder="1" applyAlignment="1">
      <alignment horizontal="center" vertical="center" wrapText="1"/>
    </xf>
    <xf numFmtId="171" fontId="5" fillId="0" borderId="0" xfId="248" applyNumberFormat="1" applyFont="1" applyFill="1" applyBorder="1" applyAlignment="1">
      <alignment horizontal="right" vertical="center" wrapText="1"/>
    </xf>
    <xf numFmtId="0" fontId="5" fillId="0" borderId="0" xfId="248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248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78" fontId="9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26" borderId="3" xfId="0" applyFont="1" applyFill="1" applyBorder="1" applyAlignment="1">
      <alignment horizontal="left" vertical="center" wrapText="1"/>
    </xf>
    <xf numFmtId="0" fontId="4" fillId="26" borderId="3" xfId="248" applyFont="1" applyFill="1" applyBorder="1" applyAlignment="1">
      <alignment horizontal="left" vertical="center" wrapText="1"/>
    </xf>
    <xf numFmtId="0" fontId="4" fillId="26" borderId="3" xfId="248" applyFont="1" applyFill="1" applyBorder="1" applyAlignment="1">
      <alignment horizontal="center" vertical="center" wrapText="1"/>
    </xf>
    <xf numFmtId="0" fontId="4" fillId="26" borderId="0" xfId="248" applyFont="1" applyFill="1" applyBorder="1" applyAlignment="1">
      <alignment vertical="center"/>
    </xf>
    <xf numFmtId="0" fontId="4" fillId="26" borderId="3" xfId="0" quotePrefix="1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171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171" fontId="5" fillId="0" borderId="3" xfId="0" applyNumberFormat="1" applyFont="1" applyFill="1" applyBorder="1" applyAlignment="1">
      <alignment horizontal="center" vertical="center"/>
    </xf>
    <xf numFmtId="171" fontId="4" fillId="26" borderId="3" xfId="0" quotePrefix="1" applyNumberFormat="1" applyFont="1" applyFill="1" applyBorder="1" applyAlignment="1">
      <alignment horizontal="center" vertical="center" wrapText="1"/>
    </xf>
    <xf numFmtId="171" fontId="4" fillId="0" borderId="3" xfId="248" applyNumberFormat="1" applyFont="1" applyFill="1" applyBorder="1" applyAlignment="1">
      <alignment horizontal="center" vertical="center" wrapText="1"/>
    </xf>
    <xf numFmtId="171" fontId="4" fillId="26" borderId="3" xfId="248" applyNumberFormat="1" applyFont="1" applyFill="1" applyBorder="1" applyAlignment="1">
      <alignment horizontal="center" vertical="center" wrapText="1"/>
    </xf>
    <xf numFmtId="171" fontId="5" fillId="0" borderId="3" xfId="0" quotePrefix="1" applyNumberFormat="1" applyFont="1" applyFill="1" applyBorder="1" applyAlignment="1">
      <alignment horizontal="center" vertical="center" wrapText="1"/>
    </xf>
    <xf numFmtId="4" fontId="5" fillId="0" borderId="3" xfId="211" applyNumberFormat="1" applyFont="1" applyFill="1" applyBorder="1" applyAlignment="1">
      <alignment horizontal="center" vertical="center" wrapText="1"/>
    </xf>
    <xf numFmtId="171" fontId="5" fillId="0" borderId="3" xfId="248" applyNumberFormat="1" applyFont="1" applyFill="1" applyBorder="1" applyAlignment="1">
      <alignment horizontal="center" vertical="center" wrapText="1"/>
    </xf>
    <xf numFmtId="171" fontId="6" fillId="0" borderId="3" xfId="248" applyNumberFormat="1" applyFont="1" applyFill="1" applyBorder="1" applyAlignment="1">
      <alignment horizontal="center" vertical="center" wrapText="1"/>
    </xf>
    <xf numFmtId="171" fontId="5" fillId="0" borderId="3" xfId="248" quotePrefix="1" applyNumberFormat="1" applyFont="1" applyFill="1" applyBorder="1" applyAlignment="1">
      <alignment horizontal="center" vertical="center" wrapText="1"/>
    </xf>
    <xf numFmtId="171" fontId="9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171" fontId="5" fillId="29" borderId="3" xfId="0" applyNumberFormat="1" applyFont="1" applyFill="1" applyBorder="1" applyAlignment="1">
      <alignment horizontal="center" vertical="center" wrapText="1"/>
    </xf>
    <xf numFmtId="3" fontId="79" fillId="0" borderId="0" xfId="0" applyNumberFormat="1" applyFont="1" applyFill="1" applyBorder="1" applyAlignment="1">
      <alignment horizontal="center" vertical="center" wrapText="1"/>
    </xf>
    <xf numFmtId="4" fontId="79" fillId="0" borderId="0" xfId="0" applyNumberFormat="1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left" vertical="center" wrapText="1"/>
    </xf>
    <xf numFmtId="1" fontId="79" fillId="29" borderId="3" xfId="0" applyNumberFormat="1" applyFont="1" applyFill="1" applyBorder="1" applyAlignment="1">
      <alignment horizontal="left" vertical="center" wrapText="1"/>
    </xf>
    <xf numFmtId="0" fontId="4" fillId="29" borderId="0" xfId="0" applyFont="1" applyFill="1" applyBorder="1" applyAlignment="1">
      <alignment vertical="center"/>
    </xf>
    <xf numFmtId="49" fontId="5" fillId="29" borderId="3" xfId="0" applyNumberFormat="1" applyFont="1" applyFill="1" applyBorder="1" applyAlignment="1">
      <alignment horizontal="left" vertical="center" wrapText="1"/>
    </xf>
    <xf numFmtId="49" fontId="6" fillId="29" borderId="3" xfId="0" applyNumberFormat="1" applyFont="1" applyFill="1" applyBorder="1" applyAlignment="1">
      <alignment horizontal="left" vertical="center" wrapText="1"/>
    </xf>
    <xf numFmtId="0" fontId="5" fillId="29" borderId="0" xfId="0" applyFont="1" applyFill="1" applyBorder="1" applyAlignment="1">
      <alignment vertical="center"/>
    </xf>
    <xf numFmtId="0" fontId="5" fillId="29" borderId="3" xfId="0" applyFont="1" applyFill="1" applyBorder="1" applyAlignment="1">
      <alignment horizontal="left" vertical="center" wrapText="1"/>
    </xf>
    <xf numFmtId="0" fontId="5" fillId="29" borderId="0" xfId="0" applyFont="1" applyFill="1" applyAlignment="1">
      <alignment vertical="center"/>
    </xf>
    <xf numFmtId="2" fontId="5" fillId="29" borderId="3" xfId="0" applyNumberFormat="1" applyFont="1" applyFill="1" applyBorder="1" applyAlignment="1">
      <alignment horizontal="center" vertical="center" wrapText="1"/>
    </xf>
    <xf numFmtId="0" fontId="4" fillId="29" borderId="0" xfId="0" applyFont="1" applyFill="1" applyAlignment="1">
      <alignment vertical="center"/>
    </xf>
    <xf numFmtId="171" fontId="5" fillId="29" borderId="3" xfId="248" applyNumberFormat="1" applyFont="1" applyFill="1" applyBorder="1" applyAlignment="1">
      <alignment horizontal="center" vertical="center" wrapText="1"/>
    </xf>
    <xf numFmtId="171" fontId="6" fillId="29" borderId="3" xfId="248" applyNumberFormat="1" applyFont="1" applyFill="1" applyBorder="1" applyAlignment="1">
      <alignment horizontal="center" vertical="center" wrapText="1"/>
    </xf>
    <xf numFmtId="0" fontId="5" fillId="29" borderId="0" xfId="248" applyFont="1" applyFill="1" applyBorder="1" applyAlignment="1">
      <alignment vertical="center"/>
    </xf>
    <xf numFmtId="0" fontId="4" fillId="29" borderId="0" xfId="248" applyFont="1" applyFill="1" applyBorder="1" applyAlignment="1">
      <alignment vertical="center"/>
    </xf>
    <xf numFmtId="0" fontId="5" fillId="29" borderId="0" xfId="0" quotePrefix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center"/>
    </xf>
    <xf numFmtId="2" fontId="79" fillId="0" borderId="0" xfId="0" applyNumberFormat="1" applyFont="1" applyFill="1" applyBorder="1" applyAlignment="1">
      <alignment horizontal="center" vertical="center"/>
    </xf>
    <xf numFmtId="1" fontId="79" fillId="0" borderId="0" xfId="0" applyNumberFormat="1" applyFont="1" applyFill="1" applyAlignment="1">
      <alignment vertical="center"/>
    </xf>
    <xf numFmtId="171" fontId="79" fillId="0" borderId="0" xfId="0" applyNumberFormat="1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horizontal="center" vertical="center"/>
    </xf>
    <xf numFmtId="0" fontId="5" fillId="29" borderId="3" xfId="0" applyFont="1" applyFill="1" applyBorder="1" applyAlignment="1">
      <alignment horizontal="center" vertical="center" wrapText="1" shrinkToFit="1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4" fillId="29" borderId="0" xfId="0" applyFont="1" applyFill="1" applyBorder="1" applyAlignment="1">
      <alignment vertical="center" wrapText="1"/>
    </xf>
    <xf numFmtId="0" fontId="5" fillId="29" borderId="0" xfId="0" applyFont="1" applyFill="1" applyAlignment="1">
      <alignment vertical="center" wrapText="1"/>
    </xf>
    <xf numFmtId="3" fontId="79" fillId="29" borderId="0" xfId="0" applyNumberFormat="1" applyFont="1" applyFill="1" applyBorder="1" applyAlignment="1">
      <alignment vertical="center"/>
    </xf>
    <xf numFmtId="3" fontId="5" fillId="29" borderId="0" xfId="0" applyNumberFormat="1" applyFont="1" applyFill="1" applyBorder="1" applyAlignment="1">
      <alignment horizontal="center" vertical="center" wrapText="1"/>
    </xf>
    <xf numFmtId="3" fontId="80" fillId="29" borderId="0" xfId="0" applyNumberFormat="1" applyFont="1" applyFill="1" applyBorder="1" applyAlignment="1">
      <alignment vertical="center"/>
    </xf>
    <xf numFmtId="3" fontId="5" fillId="29" borderId="0" xfId="0" applyNumberFormat="1" applyFont="1" applyFill="1" applyBorder="1" applyAlignment="1">
      <alignment vertical="center" wrapText="1"/>
    </xf>
    <xf numFmtId="1" fontId="4" fillId="29" borderId="3" xfId="0" applyNumberFormat="1" applyFont="1" applyFill="1" applyBorder="1" applyAlignment="1">
      <alignment horizontal="left" vertical="center" wrapText="1"/>
    </xf>
    <xf numFmtId="171" fontId="79" fillId="29" borderId="0" xfId="0" applyNumberFormat="1" applyFont="1" applyFill="1" applyBorder="1" applyAlignment="1">
      <alignment horizontal="center" vertical="center" wrapText="1"/>
    </xf>
    <xf numFmtId="1" fontId="5" fillId="29" borderId="3" xfId="0" applyNumberFormat="1" applyFont="1" applyFill="1" applyBorder="1" applyAlignment="1">
      <alignment horizontal="left" vertical="center" wrapText="1"/>
    </xf>
    <xf numFmtId="0" fontId="5" fillId="29" borderId="0" xfId="0" applyFont="1" applyFill="1" applyBorder="1"/>
    <xf numFmtId="0" fontId="5" fillId="29" borderId="0" xfId="0" applyFont="1" applyFill="1" applyBorder="1" applyAlignment="1">
      <alignment horizontal="left" vertical="center" wrapText="1" shrinkToFit="1"/>
    </xf>
    <xf numFmtId="0" fontId="9" fillId="29" borderId="0" xfId="0" applyFont="1" applyFill="1" applyAlignment="1">
      <alignment vertical="center"/>
    </xf>
    <xf numFmtId="0" fontId="7" fillId="29" borderId="0" xfId="0" applyFont="1" applyFill="1" applyAlignment="1">
      <alignment horizontal="center" vertical="center"/>
    </xf>
    <xf numFmtId="0" fontId="5" fillId="29" borderId="0" xfId="0" applyFont="1" applyFill="1" applyBorder="1" applyAlignment="1">
      <alignment horizontal="right" vertical="center"/>
    </xf>
    <xf numFmtId="1" fontId="5" fillId="29" borderId="0" xfId="0" applyNumberFormat="1" applyFont="1" applyFill="1" applyBorder="1" applyAlignment="1">
      <alignment horizontal="center" vertical="center"/>
    </xf>
    <xf numFmtId="3" fontId="5" fillId="29" borderId="3" xfId="0" applyNumberFormat="1" applyFont="1" applyFill="1" applyBorder="1" applyAlignment="1">
      <alignment horizontal="center" vertical="center"/>
    </xf>
    <xf numFmtId="3" fontId="5" fillId="29" borderId="14" xfId="0" applyNumberFormat="1" applyFont="1" applyFill="1" applyBorder="1" applyAlignment="1">
      <alignment horizontal="center" vertical="center" wrapText="1"/>
    </xf>
    <xf numFmtId="171" fontId="5" fillId="29" borderId="14" xfId="0" applyNumberFormat="1" applyFont="1" applyFill="1" applyBorder="1" applyAlignment="1">
      <alignment horizontal="center" vertical="center" wrapText="1"/>
    </xf>
    <xf numFmtId="0" fontId="8" fillId="29" borderId="0" xfId="0" applyFont="1" applyFill="1" applyBorder="1" applyAlignment="1">
      <alignment vertical="center"/>
    </xf>
    <xf numFmtId="0" fontId="0" fillId="29" borderId="17" xfId="0" applyFill="1" applyBorder="1" applyAlignment="1">
      <alignment horizontal="center" vertical="center" wrapText="1"/>
    </xf>
    <xf numFmtId="3" fontId="5" fillId="29" borderId="14" xfId="0" applyNumberFormat="1" applyFont="1" applyFill="1" applyBorder="1" applyAlignment="1">
      <alignment horizontal="center" vertical="center"/>
    </xf>
    <xf numFmtId="3" fontId="4" fillId="29" borderId="14" xfId="0" applyNumberFormat="1" applyFont="1" applyFill="1" applyBorder="1" applyAlignment="1">
      <alignment horizontal="center" vertical="center" wrapText="1"/>
    </xf>
    <xf numFmtId="3" fontId="4" fillId="29" borderId="17" xfId="0" applyNumberFormat="1" applyFont="1" applyFill="1" applyBorder="1" applyAlignment="1">
      <alignment horizontal="center" vertical="center" wrapText="1"/>
    </xf>
    <xf numFmtId="171" fontId="5" fillId="29" borderId="0" xfId="0" applyNumberFormat="1" applyFont="1" applyFill="1" applyAlignment="1">
      <alignment vertical="center"/>
    </xf>
    <xf numFmtId="0" fontId="4" fillId="29" borderId="13" xfId="0" applyFont="1" applyFill="1" applyBorder="1" applyAlignment="1">
      <alignment horizontal="left" vertical="center" wrapText="1"/>
    </xf>
    <xf numFmtId="0" fontId="9" fillId="29" borderId="3" xfId="0" applyFont="1" applyFill="1" applyBorder="1" applyAlignment="1">
      <alignment horizontal="center" vertical="center" wrapText="1" shrinkToFit="1"/>
    </xf>
    <xf numFmtId="0" fontId="9" fillId="29" borderId="3" xfId="0" applyFont="1" applyFill="1" applyBorder="1" applyAlignment="1">
      <alignment horizontal="center" vertical="center" wrapText="1"/>
    </xf>
    <xf numFmtId="0" fontId="9" fillId="29" borderId="18" xfId="0" applyFont="1" applyFill="1" applyBorder="1" applyAlignment="1">
      <alignment horizontal="center" vertical="center" wrapText="1"/>
    </xf>
    <xf numFmtId="2" fontId="9" fillId="29" borderId="18" xfId="0" applyNumberFormat="1" applyFont="1" applyFill="1" applyBorder="1" applyAlignment="1">
      <alignment horizontal="center" vertical="center" wrapText="1"/>
    </xf>
    <xf numFmtId="49" fontId="9" fillId="29" borderId="3" xfId="0" applyNumberFormat="1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horizontal="left" vertical="center" wrapText="1" shrinkToFit="1"/>
    </xf>
    <xf numFmtId="0" fontId="0" fillId="29" borderId="3" xfId="0" applyFill="1" applyBorder="1" applyAlignment="1">
      <alignment horizontal="center" vertical="center" wrapText="1" shrinkToFit="1"/>
    </xf>
    <xf numFmtId="2" fontId="5" fillId="29" borderId="14" xfId="0" applyNumberFormat="1" applyFont="1" applyFill="1" applyBorder="1" applyAlignment="1">
      <alignment horizontal="center" vertical="center" wrapText="1" shrinkToFit="1"/>
    </xf>
    <xf numFmtId="170" fontId="4" fillId="29" borderId="0" xfId="0" applyNumberFormat="1" applyFont="1" applyFill="1" applyBorder="1" applyAlignment="1">
      <alignment horizontal="right" vertical="center" wrapText="1"/>
    </xf>
    <xf numFmtId="3" fontId="9" fillId="29" borderId="3" xfId="0" applyNumberFormat="1" applyFont="1" applyFill="1" applyBorder="1" applyAlignment="1">
      <alignment horizontal="center" vertical="center" wrapText="1" shrinkToFit="1"/>
    </xf>
    <xf numFmtId="0" fontId="9" fillId="29" borderId="3" xfId="0" applyFont="1" applyFill="1" applyBorder="1" applyAlignment="1">
      <alignment horizontal="left" vertical="center" wrapText="1"/>
    </xf>
    <xf numFmtId="2" fontId="9" fillId="29" borderId="3" xfId="0" applyNumberFormat="1" applyFont="1" applyFill="1" applyBorder="1" applyAlignment="1">
      <alignment horizontal="center" vertical="center" wrapText="1"/>
    </xf>
    <xf numFmtId="2" fontId="5" fillId="29" borderId="3" xfId="0" applyNumberFormat="1" applyFont="1" applyFill="1" applyBorder="1" applyAlignment="1">
      <alignment horizontal="center" vertical="center" wrapText="1" shrinkToFit="1"/>
    </xf>
    <xf numFmtId="0" fontId="5" fillId="29" borderId="13" xfId="0" applyFont="1" applyFill="1" applyBorder="1" applyAlignment="1">
      <alignment vertical="center"/>
    </xf>
    <xf numFmtId="0" fontId="5" fillId="29" borderId="13" xfId="0" applyFont="1" applyFill="1" applyBorder="1" applyAlignment="1">
      <alignment horizontal="center" vertical="center"/>
    </xf>
    <xf numFmtId="49" fontId="9" fillId="29" borderId="3" xfId="0" applyNumberFormat="1" applyFont="1" applyFill="1" applyBorder="1" applyAlignment="1">
      <alignment horizontal="center" vertical="center" wrapText="1"/>
    </xf>
    <xf numFmtId="3" fontId="9" fillId="29" borderId="3" xfId="0" applyNumberFormat="1" applyFont="1" applyFill="1" applyBorder="1" applyAlignment="1">
      <alignment horizontal="center" vertical="center" wrapText="1"/>
    </xf>
    <xf numFmtId="171" fontId="9" fillId="29" borderId="3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left" vertical="center" wrapText="1"/>
    </xf>
    <xf numFmtId="170" fontId="68" fillId="29" borderId="3" xfId="0" applyNumberFormat="1" applyFont="1" applyFill="1" applyBorder="1" applyAlignment="1">
      <alignment horizontal="center" vertical="center" wrapText="1"/>
    </xf>
    <xf numFmtId="0" fontId="0" fillId="29" borderId="0" xfId="0" applyFill="1" applyBorder="1" applyAlignment="1">
      <alignment vertical="center"/>
    </xf>
    <xf numFmtId="171" fontId="6" fillId="29" borderId="0" xfId="0" applyNumberFormat="1" applyFont="1" applyFill="1" applyBorder="1" applyAlignment="1">
      <alignment vertical="center"/>
    </xf>
    <xf numFmtId="0" fontId="5" fillId="29" borderId="0" xfId="0" applyFont="1" applyFill="1" applyAlignment="1">
      <alignment horizontal="left" vertical="center"/>
    </xf>
    <xf numFmtId="0" fontId="5" fillId="29" borderId="3" xfId="0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center" vertical="center"/>
    </xf>
    <xf numFmtId="0" fontId="4" fillId="29" borderId="3" xfId="0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horizontal="center" vertical="center"/>
    </xf>
    <xf numFmtId="0" fontId="4" fillId="29" borderId="0" xfId="0" applyFont="1" applyFill="1" applyAlignment="1">
      <alignment horizontal="center" vertical="center"/>
    </xf>
    <xf numFmtId="0" fontId="9" fillId="29" borderId="0" xfId="0" applyFont="1" applyFill="1" applyBorder="1" applyAlignment="1">
      <alignment horizontal="center" vertical="center"/>
    </xf>
    <xf numFmtId="3" fontId="5" fillId="29" borderId="3" xfId="0" applyNumberFormat="1" applyFont="1" applyFill="1" applyBorder="1" applyAlignment="1">
      <alignment horizontal="center" vertical="center" wrapText="1"/>
    </xf>
    <xf numFmtId="0" fontId="0" fillId="29" borderId="18" xfId="0" applyFill="1" applyBorder="1" applyAlignment="1">
      <alignment horizontal="center" vertical="center" wrapText="1"/>
    </xf>
    <xf numFmtId="0" fontId="5" fillId="29" borderId="19" xfId="0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horizontal="left" vertical="center"/>
    </xf>
    <xf numFmtId="3" fontId="5" fillId="29" borderId="17" xfId="0" applyNumberFormat="1" applyFont="1" applyFill="1" applyBorder="1" applyAlignment="1">
      <alignment horizontal="center" vertical="center" wrapText="1"/>
    </xf>
    <xf numFmtId="0" fontId="5" fillId="29" borderId="17" xfId="0" applyFont="1" applyFill="1" applyBorder="1" applyAlignment="1">
      <alignment horizontal="left" vertical="center" wrapText="1"/>
    </xf>
    <xf numFmtId="0" fontId="69" fillId="29" borderId="0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170" fontId="6" fillId="0" borderId="3" xfId="0" applyNumberFormat="1" applyFont="1" applyFill="1" applyBorder="1" applyAlignment="1">
      <alignment horizontal="center" vertical="center" wrapText="1"/>
    </xf>
    <xf numFmtId="0" fontId="4" fillId="30" borderId="3" xfId="0" applyFont="1" applyFill="1" applyBorder="1" applyAlignment="1">
      <alignment horizontal="left" vertical="center" wrapText="1"/>
    </xf>
    <xf numFmtId="0" fontId="4" fillId="30" borderId="3" xfId="0" quotePrefix="1" applyFont="1" applyFill="1" applyBorder="1" applyAlignment="1">
      <alignment horizontal="center" vertical="center"/>
    </xf>
    <xf numFmtId="170" fontId="4" fillId="30" borderId="3" xfId="0" quotePrefix="1" applyNumberFormat="1" applyFont="1" applyFill="1" applyBorder="1" applyAlignment="1">
      <alignment horizontal="center" vertical="center" wrapText="1"/>
    </xf>
    <xf numFmtId="170" fontId="4" fillId="30" borderId="3" xfId="0" applyNumberFormat="1" applyFont="1" applyFill="1" applyBorder="1" applyAlignment="1">
      <alignment horizontal="center" vertical="center" wrapText="1"/>
    </xf>
    <xf numFmtId="0" fontId="4" fillId="31" borderId="3" xfId="0" quotePrefix="1" applyFont="1" applyFill="1" applyBorder="1" applyAlignment="1">
      <alignment horizontal="center" vertical="center"/>
    </xf>
    <xf numFmtId="170" fontId="4" fillId="31" borderId="3" xfId="0" applyNumberFormat="1" applyFont="1" applyFill="1" applyBorder="1" applyAlignment="1">
      <alignment horizontal="center" vertical="center" wrapText="1"/>
    </xf>
    <xf numFmtId="0" fontId="4" fillId="32" borderId="3" xfId="0" quotePrefix="1" applyFont="1" applyFill="1" applyBorder="1" applyAlignment="1">
      <alignment horizontal="center" vertical="center"/>
    </xf>
    <xf numFmtId="170" fontId="4" fillId="32" borderId="3" xfId="0" applyNumberFormat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center" vertical="center" wrapText="1"/>
    </xf>
    <xf numFmtId="0" fontId="4" fillId="30" borderId="3" xfId="0" applyFont="1" applyFill="1" applyBorder="1" applyAlignment="1">
      <alignment horizontal="left" vertical="center" wrapText="1" shrinkToFit="1"/>
    </xf>
    <xf numFmtId="0" fontId="4" fillId="32" borderId="19" xfId="0" applyFont="1" applyFill="1" applyBorder="1" applyAlignment="1">
      <alignment horizontal="center" vertical="center"/>
    </xf>
    <xf numFmtId="171" fontId="4" fillId="32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0" fontId="5" fillId="0" borderId="19" xfId="0" quotePrefix="1" applyFont="1" applyFill="1" applyBorder="1" applyAlignment="1">
      <alignment horizontal="center" vertical="center"/>
    </xf>
    <xf numFmtId="171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/>
    </xf>
    <xf numFmtId="171" fontId="4" fillId="0" borderId="0" xfId="0" quotePrefix="1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4" fillId="31" borderId="3" xfId="0" applyFont="1" applyFill="1" applyBorder="1" applyAlignment="1">
      <alignment horizontal="left" vertical="center" wrapText="1"/>
    </xf>
    <xf numFmtId="0" fontId="4" fillId="31" borderId="3" xfId="0" applyFont="1" applyFill="1" applyBorder="1" applyAlignment="1">
      <alignment horizontal="center" vertical="center" wrapText="1"/>
    </xf>
    <xf numFmtId="170" fontId="4" fillId="33" borderId="3" xfId="0" applyNumberFormat="1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left" vertical="center" wrapText="1"/>
    </xf>
    <xf numFmtId="0" fontId="5" fillId="33" borderId="3" xfId="0" quotePrefix="1" applyFont="1" applyFill="1" applyBorder="1" applyAlignment="1">
      <alignment horizontal="center" vertical="center"/>
    </xf>
    <xf numFmtId="170" fontId="5" fillId="33" borderId="3" xfId="0" applyNumberFormat="1" applyFont="1" applyFill="1" applyBorder="1" applyAlignment="1">
      <alignment horizontal="center" vertical="center" wrapText="1"/>
    </xf>
    <xf numFmtId="170" fontId="5" fillId="33" borderId="3" xfId="0" quotePrefix="1" applyNumberFormat="1" applyFont="1" applyFill="1" applyBorder="1" applyAlignment="1">
      <alignment horizontal="center" vertical="center" wrapText="1"/>
    </xf>
    <xf numFmtId="170" fontId="9" fillId="33" borderId="3" xfId="0" applyNumberFormat="1" applyFont="1" applyFill="1" applyBorder="1" applyAlignment="1">
      <alignment horizontal="center" vertical="center" wrapText="1"/>
    </xf>
    <xf numFmtId="170" fontId="4" fillId="31" borderId="3" xfId="0" quotePrefix="1" applyNumberFormat="1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left" vertical="center" wrapText="1"/>
    </xf>
    <xf numFmtId="0" fontId="5" fillId="31" borderId="3" xfId="0" quotePrefix="1" applyFont="1" applyFill="1" applyBorder="1" applyAlignment="1">
      <alignment horizontal="center" vertical="center"/>
    </xf>
    <xf numFmtId="170" fontId="5" fillId="31" borderId="3" xfId="0" applyNumberFormat="1" applyFont="1" applyFill="1" applyBorder="1" applyAlignment="1">
      <alignment horizontal="center" vertical="center" wrapText="1"/>
    </xf>
    <xf numFmtId="170" fontId="5" fillId="31" borderId="3" xfId="0" quotePrefix="1" applyNumberFormat="1" applyFont="1" applyFill="1" applyBorder="1" applyAlignment="1">
      <alignment horizontal="center" vertical="center" wrapText="1"/>
    </xf>
    <xf numFmtId="170" fontId="9" fillId="31" borderId="3" xfId="0" applyNumberFormat="1" applyFont="1" applyFill="1" applyBorder="1" applyAlignment="1">
      <alignment horizontal="center" vertical="center" wrapText="1"/>
    </xf>
    <xf numFmtId="49" fontId="6" fillId="33" borderId="3" xfId="0" applyNumberFormat="1" applyFont="1" applyFill="1" applyBorder="1" applyAlignment="1">
      <alignment horizontal="left" vertical="center" wrapText="1"/>
    </xf>
    <xf numFmtId="0" fontId="5" fillId="33" borderId="19" xfId="0" quotePrefix="1" applyFont="1" applyFill="1" applyBorder="1" applyAlignment="1">
      <alignment horizontal="center" vertical="center"/>
    </xf>
    <xf numFmtId="49" fontId="5" fillId="33" borderId="3" xfId="0" applyNumberFormat="1" applyFont="1" applyFill="1" applyBorder="1" applyAlignment="1">
      <alignment horizontal="left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170" fontId="6" fillId="0" borderId="3" xfId="0" quotePrefix="1" applyNumberFormat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/>
    </xf>
    <xf numFmtId="0" fontId="6" fillId="33" borderId="3" xfId="0" quotePrefix="1" applyFont="1" applyFill="1" applyBorder="1" applyAlignment="1">
      <alignment horizontal="center" vertical="center"/>
    </xf>
    <xf numFmtId="170" fontId="6" fillId="33" borderId="3" xfId="0" applyNumberFormat="1" applyFont="1" applyFill="1" applyBorder="1" applyAlignment="1">
      <alignment horizontal="center" vertical="center" wrapText="1"/>
    </xf>
    <xf numFmtId="170" fontId="6" fillId="33" borderId="3" xfId="0" quotePrefix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70" fontId="71" fillId="0" borderId="3" xfId="0" applyNumberFormat="1" applyFont="1" applyFill="1" applyBorder="1" applyAlignment="1">
      <alignment horizontal="center" vertical="center" wrapText="1"/>
    </xf>
    <xf numFmtId="170" fontId="7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170" fontId="6" fillId="0" borderId="3" xfId="0" quotePrefix="1" applyNumberFormat="1" applyFont="1" applyFill="1" applyBorder="1" applyAlignment="1">
      <alignment horizontal="center" vertical="center"/>
    </xf>
    <xf numFmtId="0" fontId="6" fillId="0" borderId="19" xfId="0" quotePrefix="1" applyFont="1" applyFill="1" applyBorder="1" applyAlignment="1">
      <alignment horizontal="center" vertical="center"/>
    </xf>
    <xf numFmtId="0" fontId="5" fillId="33" borderId="3" xfId="0" quotePrefix="1" applyNumberFormat="1" applyFont="1" applyFill="1" applyBorder="1" applyAlignment="1">
      <alignment horizontal="center" vertical="center" wrapText="1"/>
    </xf>
    <xf numFmtId="171" fontId="5" fillId="33" borderId="3" xfId="0" quotePrefix="1" applyNumberFormat="1" applyFont="1" applyFill="1" applyBorder="1" applyAlignment="1">
      <alignment horizontal="center" vertical="center" wrapText="1"/>
    </xf>
    <xf numFmtId="171" fontId="5" fillId="33" borderId="3" xfId="0" applyNumberFormat="1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3" xfId="0" applyFont="1" applyFill="1" applyBorder="1" applyAlignment="1">
      <alignment vertical="center"/>
    </xf>
    <xf numFmtId="3" fontId="5" fillId="33" borderId="3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left" vertical="center" wrapText="1" indent="6"/>
    </xf>
    <xf numFmtId="170" fontId="4" fillId="32" borderId="3" xfId="0" quotePrefix="1" applyNumberFormat="1" applyFont="1" applyFill="1" applyBorder="1" applyAlignment="1">
      <alignment horizontal="center" vertical="center" wrapText="1"/>
    </xf>
    <xf numFmtId="170" fontId="72" fillId="29" borderId="3" xfId="0" applyNumberFormat="1" applyFont="1" applyFill="1" applyBorder="1" applyAlignment="1">
      <alignment horizontal="center" vertical="center" wrapText="1"/>
    </xf>
    <xf numFmtId="170" fontId="9" fillId="29" borderId="3" xfId="0" applyNumberFormat="1" applyFont="1" applyFill="1" applyBorder="1" applyAlignment="1">
      <alignment horizontal="center" vertical="center" wrapText="1"/>
    </xf>
    <xf numFmtId="170" fontId="5" fillId="29" borderId="3" xfId="0" quotePrefix="1" applyNumberFormat="1" applyFont="1" applyFill="1" applyBorder="1" applyAlignment="1">
      <alignment horizontal="center" vertical="center" wrapText="1"/>
    </xf>
    <xf numFmtId="170" fontId="4" fillId="29" borderId="3" xfId="0" applyNumberFormat="1" applyFont="1" applyFill="1" applyBorder="1" applyAlignment="1">
      <alignment horizontal="center" vertical="center" wrapText="1"/>
    </xf>
    <xf numFmtId="170" fontId="5" fillId="29" borderId="3" xfId="0" applyNumberFormat="1" applyFont="1" applyFill="1" applyBorder="1" applyAlignment="1">
      <alignment horizontal="center" vertical="center" wrapText="1"/>
    </xf>
    <xf numFmtId="170" fontId="6" fillId="29" borderId="3" xfId="0" applyNumberFormat="1" applyFont="1" applyFill="1" applyBorder="1" applyAlignment="1">
      <alignment horizontal="center" vertical="center" wrapText="1"/>
    </xf>
    <xf numFmtId="170" fontId="6" fillId="29" borderId="3" xfId="0" quotePrefix="1" applyNumberFormat="1" applyFont="1" applyFill="1" applyBorder="1" applyAlignment="1">
      <alignment horizontal="center" vertical="center" wrapText="1"/>
    </xf>
    <xf numFmtId="0" fontId="5" fillId="29" borderId="3" xfId="0" quotePrefix="1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29" borderId="3" xfId="0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170" fontId="71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71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  <xf numFmtId="2" fontId="5" fillId="29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5" fillId="29" borderId="3" xfId="248" applyFont="1" applyFill="1" applyBorder="1" applyAlignment="1">
      <alignment horizontal="left" vertical="center" wrapText="1"/>
    </xf>
    <xf numFmtId="170" fontId="5" fillId="0" borderId="0" xfId="0" applyNumberFormat="1" applyFont="1" applyFill="1" applyAlignment="1">
      <alignment vertical="center"/>
    </xf>
    <xf numFmtId="171" fontId="5" fillId="29" borderId="3" xfId="0" quotePrefix="1" applyNumberFormat="1" applyFont="1" applyFill="1" applyBorder="1" applyAlignment="1">
      <alignment horizontal="center" vertical="center" wrapText="1"/>
    </xf>
    <xf numFmtId="171" fontId="4" fillId="29" borderId="3" xfId="0" quotePrefix="1" applyNumberFormat="1" applyFont="1" applyFill="1" applyBorder="1" applyAlignment="1">
      <alignment horizontal="center" vertical="center" wrapText="1"/>
    </xf>
    <xf numFmtId="2" fontId="5" fillId="0" borderId="3" xfId="0" quotePrefix="1" applyNumberFormat="1" applyFont="1" applyFill="1" applyBorder="1" applyAlignment="1">
      <alignment horizontal="center" vertical="center" wrapText="1"/>
    </xf>
    <xf numFmtId="171" fontId="5" fillId="29" borderId="0" xfId="0" applyNumberFormat="1" applyFont="1" applyFill="1" applyBorder="1" applyAlignment="1">
      <alignment horizontal="center" vertical="center"/>
    </xf>
    <xf numFmtId="170" fontId="5" fillId="29" borderId="0" xfId="0" applyNumberFormat="1" applyFont="1" applyFill="1" applyBorder="1" applyAlignment="1">
      <alignment horizontal="center" vertical="center" wrapText="1"/>
    </xf>
    <xf numFmtId="180" fontId="5" fillId="29" borderId="0" xfId="0" quotePrefix="1" applyNumberFormat="1" applyFont="1" applyFill="1" applyBorder="1" applyAlignment="1">
      <alignment horizontal="center" vertical="center" wrapText="1"/>
    </xf>
    <xf numFmtId="0" fontId="80" fillId="29" borderId="0" xfId="0" applyFont="1" applyFill="1" applyBorder="1" applyAlignment="1">
      <alignment horizontal="center" vertical="center" wrapText="1"/>
    </xf>
    <xf numFmtId="2" fontId="82" fillId="29" borderId="3" xfId="0" applyNumberFormat="1" applyFont="1" applyFill="1" applyBorder="1" applyAlignment="1">
      <alignment horizontal="center" vertical="center" wrapText="1"/>
    </xf>
    <xf numFmtId="0" fontId="79" fillId="29" borderId="0" xfId="0" applyFont="1" applyFill="1" applyBorder="1" applyAlignment="1">
      <alignment horizontal="left" vertical="center"/>
    </xf>
    <xf numFmtId="2" fontId="79" fillId="29" borderId="0" xfId="0" applyNumberFormat="1" applyFont="1" applyFill="1" applyBorder="1" applyAlignment="1">
      <alignment horizontal="center" vertical="center"/>
    </xf>
    <xf numFmtId="1" fontId="79" fillId="29" borderId="0" xfId="0" applyNumberFormat="1" applyFont="1" applyFill="1" applyAlignment="1">
      <alignment vertical="center"/>
    </xf>
    <xf numFmtId="4" fontId="79" fillId="29" borderId="0" xfId="0" applyNumberFormat="1" applyFont="1" applyFill="1" applyBorder="1" applyAlignment="1">
      <alignment horizontal="center" vertical="center" wrapText="1"/>
    </xf>
    <xf numFmtId="3" fontId="79" fillId="29" borderId="0" xfId="0" applyNumberFormat="1" applyFont="1" applyFill="1" applyBorder="1" applyAlignment="1">
      <alignment horizontal="center" vertical="center" wrapText="1"/>
    </xf>
    <xf numFmtId="0" fontId="79" fillId="29" borderId="0" xfId="0" applyFont="1" applyFill="1" applyBorder="1" applyAlignment="1">
      <alignment horizontal="center" vertical="center"/>
    </xf>
    <xf numFmtId="0" fontId="79" fillId="29" borderId="0" xfId="0" applyFont="1" applyFill="1" applyAlignment="1">
      <alignment vertical="center"/>
    </xf>
    <xf numFmtId="49" fontId="6" fillId="29" borderId="3" xfId="0" applyNumberFormat="1" applyFont="1" applyFill="1" applyBorder="1" applyAlignment="1">
      <alignment horizontal="left" vertical="center" wrapText="1" indent="3"/>
    </xf>
    <xf numFmtId="2" fontId="83" fillId="29" borderId="3" xfId="0" applyNumberFormat="1" applyFont="1" applyFill="1" applyBorder="1" applyAlignment="1">
      <alignment horizontal="center" vertical="center" wrapText="1"/>
    </xf>
    <xf numFmtId="2" fontId="6" fillId="29" borderId="3" xfId="0" applyNumberFormat="1" applyFont="1" applyFill="1" applyBorder="1" applyAlignment="1">
      <alignment horizontal="center" vertical="center" wrapText="1"/>
    </xf>
    <xf numFmtId="0" fontId="6" fillId="29" borderId="3" xfId="0" applyFont="1" applyFill="1" applyBorder="1" applyAlignment="1">
      <alignment horizontal="center" vertical="center" wrapText="1"/>
    </xf>
    <xf numFmtId="0" fontId="81" fillId="29" borderId="0" xfId="0" applyFont="1" applyFill="1" applyAlignment="1">
      <alignment vertical="center"/>
    </xf>
    <xf numFmtId="0" fontId="6" fillId="29" borderId="0" xfId="0" applyFont="1" applyFill="1" applyBorder="1" applyAlignment="1">
      <alignment horizontal="center" vertical="center"/>
    </xf>
    <xf numFmtId="0" fontId="81" fillId="29" borderId="0" xfId="0" applyFont="1" applyFill="1" applyBorder="1" applyAlignment="1">
      <alignment horizontal="center" vertical="center"/>
    </xf>
    <xf numFmtId="0" fontId="6" fillId="29" borderId="0" xfId="0" applyFont="1" applyFill="1" applyAlignment="1">
      <alignment vertical="center"/>
    </xf>
    <xf numFmtId="171" fontId="84" fillId="29" borderId="3" xfId="0" applyNumberFormat="1" applyFont="1" applyFill="1" applyBorder="1" applyAlignment="1">
      <alignment horizontal="center" vertical="center" wrapText="1"/>
    </xf>
    <xf numFmtId="171" fontId="4" fillId="29" borderId="3" xfId="0" applyNumberFormat="1" applyFont="1" applyFill="1" applyBorder="1" applyAlignment="1">
      <alignment horizontal="center" vertical="center" wrapText="1"/>
    </xf>
    <xf numFmtId="3" fontId="4" fillId="29" borderId="0" xfId="0" applyNumberFormat="1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horizontal="left" vertical="center" wrapText="1"/>
    </xf>
    <xf numFmtId="0" fontId="5" fillId="29" borderId="15" xfId="0" applyFont="1" applyFill="1" applyBorder="1" applyAlignment="1">
      <alignment horizontal="center" vertical="center" wrapText="1"/>
    </xf>
    <xf numFmtId="0" fontId="9" fillId="29" borderId="14" xfId="0" applyFont="1" applyFill="1" applyBorder="1" applyAlignment="1">
      <alignment horizontal="center" vertical="center" wrapText="1"/>
    </xf>
    <xf numFmtId="0" fontId="9" fillId="29" borderId="0" xfId="0" applyFont="1" applyFill="1" applyBorder="1" applyAlignment="1">
      <alignment horizontal="center" vertical="center" wrapText="1"/>
    </xf>
    <xf numFmtId="49" fontId="9" fillId="29" borderId="14" xfId="0" applyNumberFormat="1" applyFont="1" applyFill="1" applyBorder="1" applyAlignment="1">
      <alignment horizontal="left" vertical="center" wrapText="1"/>
    </xf>
    <xf numFmtId="3" fontId="9" fillId="29" borderId="0" xfId="0" applyNumberFormat="1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 shrinkToFit="1"/>
    </xf>
    <xf numFmtId="170" fontId="4" fillId="29" borderId="0" xfId="0" applyNumberFormat="1" applyFont="1" applyFill="1" applyBorder="1" applyAlignment="1">
      <alignment horizontal="center" vertical="center" wrapText="1"/>
    </xf>
    <xf numFmtId="171" fontId="4" fillId="29" borderId="0" xfId="0" applyNumberFormat="1" applyFont="1" applyFill="1" applyBorder="1" applyAlignment="1">
      <alignment horizontal="center" vertical="center" wrapText="1"/>
    </xf>
    <xf numFmtId="171" fontId="4" fillId="29" borderId="0" xfId="0" applyNumberFormat="1" applyFont="1" applyFill="1" applyBorder="1" applyAlignment="1">
      <alignment horizontal="center" vertical="center"/>
    </xf>
    <xf numFmtId="49" fontId="9" fillId="29" borderId="0" xfId="0" applyNumberFormat="1" applyFont="1" applyFill="1" applyBorder="1" applyAlignment="1">
      <alignment horizontal="left" vertical="center" wrapText="1"/>
    </xf>
    <xf numFmtId="178" fontId="9" fillId="29" borderId="0" xfId="0" applyNumberFormat="1" applyFont="1" applyFill="1" applyBorder="1" applyAlignment="1">
      <alignment horizontal="center" vertical="center" wrapText="1"/>
    </xf>
    <xf numFmtId="0" fontId="5" fillId="29" borderId="0" xfId="0" applyFont="1" applyFill="1" applyAlignment="1">
      <alignment horizontal="right" vertical="center"/>
    </xf>
    <xf numFmtId="4" fontId="9" fillId="29" borderId="3" xfId="0" applyNumberFormat="1" applyFont="1" applyFill="1" applyBorder="1" applyAlignment="1">
      <alignment horizontal="center" vertical="center" wrapText="1"/>
    </xf>
    <xf numFmtId="171" fontId="5" fillId="29" borderId="3" xfId="0" applyNumberFormat="1" applyFont="1" applyFill="1" applyBorder="1" applyAlignment="1">
      <alignment horizontal="center" vertical="center"/>
    </xf>
    <xf numFmtId="3" fontId="4" fillId="29" borderId="3" xfId="0" applyNumberFormat="1" applyFont="1" applyFill="1" applyBorder="1" applyAlignment="1">
      <alignment horizontal="left" vertical="center" wrapText="1"/>
    </xf>
    <xf numFmtId="2" fontId="4" fillId="29" borderId="3" xfId="0" applyNumberFormat="1" applyFont="1" applyFill="1" applyBorder="1" applyAlignment="1">
      <alignment horizontal="center" vertical="center" wrapText="1"/>
    </xf>
    <xf numFmtId="3" fontId="4" fillId="29" borderId="3" xfId="0" applyNumberFormat="1" applyFont="1" applyFill="1" applyBorder="1" applyAlignment="1">
      <alignment horizontal="center" vertical="center" wrapText="1"/>
    </xf>
    <xf numFmtId="171" fontId="4" fillId="29" borderId="3" xfId="0" applyNumberFormat="1" applyFont="1" applyFill="1" applyBorder="1" applyAlignment="1">
      <alignment horizontal="center" vertical="center"/>
    </xf>
    <xf numFmtId="49" fontId="5" fillId="29" borderId="0" xfId="0" applyNumberFormat="1" applyFont="1" applyFill="1" applyBorder="1" applyAlignment="1">
      <alignment horizontal="left" vertical="center"/>
    </xf>
    <xf numFmtId="49" fontId="5" fillId="29" borderId="0" xfId="0" applyNumberFormat="1" applyFont="1" applyFill="1" applyBorder="1" applyAlignment="1">
      <alignment horizontal="center" vertical="center"/>
    </xf>
    <xf numFmtId="0" fontId="85" fillId="29" borderId="0" xfId="0" applyFont="1" applyFill="1" applyBorder="1" applyAlignment="1">
      <alignment horizontal="left" vertical="center" wrapText="1"/>
    </xf>
    <xf numFmtId="0" fontId="86" fillId="29" borderId="0" xfId="0" quotePrefix="1" applyFont="1" applyFill="1" applyBorder="1" applyAlignment="1">
      <alignment horizontal="center" vertical="center"/>
    </xf>
    <xf numFmtId="171" fontId="87" fillId="29" borderId="0" xfId="0" applyNumberFormat="1" applyFont="1" applyFill="1" applyBorder="1" applyAlignment="1">
      <alignment vertical="center"/>
    </xf>
    <xf numFmtId="3" fontId="79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3" fontId="80" fillId="0" borderId="0" xfId="0" applyNumberFormat="1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right" vertical="center" wrapText="1"/>
    </xf>
    <xf numFmtId="1" fontId="5" fillId="0" borderId="3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right" vertical="center" wrapText="1"/>
    </xf>
    <xf numFmtId="0" fontId="79" fillId="0" borderId="3" xfId="0" applyFont="1" applyFill="1" applyBorder="1" applyAlignment="1">
      <alignment horizontal="right" vertical="center" wrapText="1"/>
    </xf>
    <xf numFmtId="1" fontId="79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2" fontId="82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4" fontId="79" fillId="0" borderId="0" xfId="0" applyNumberFormat="1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vertical="center"/>
    </xf>
    <xf numFmtId="170" fontId="81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29" borderId="3" xfId="0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center" vertical="center"/>
    </xf>
    <xf numFmtId="171" fontId="5" fillId="29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32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29" borderId="0" xfId="0" applyFont="1" applyFill="1" applyBorder="1" applyAlignment="1">
      <alignment horizontal="left" vertical="center"/>
    </xf>
    <xf numFmtId="0" fontId="4" fillId="29" borderId="0" xfId="0" applyFont="1" applyFill="1" applyAlignment="1">
      <alignment horizontal="center" vertical="center"/>
    </xf>
    <xf numFmtId="0" fontId="9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0" fillId="29" borderId="18" xfId="0" applyFill="1" applyBorder="1" applyAlignment="1">
      <alignment horizontal="center" vertical="center" wrapText="1"/>
    </xf>
    <xf numFmtId="3" fontId="5" fillId="29" borderId="17" xfId="0" applyNumberFormat="1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5" fillId="29" borderId="19" xfId="0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/>
    </xf>
    <xf numFmtId="0" fontId="4" fillId="29" borderId="0" xfId="0" applyFont="1" applyFill="1" applyBorder="1" applyAlignment="1">
      <alignment horizontal="left" vertical="center"/>
    </xf>
    <xf numFmtId="0" fontId="5" fillId="29" borderId="17" xfId="0" applyFont="1" applyFill="1" applyBorder="1" applyAlignment="1">
      <alignment horizontal="left" vertical="center" wrapText="1"/>
    </xf>
    <xf numFmtId="0" fontId="5" fillId="29" borderId="0" xfId="0" applyFont="1" applyFill="1" applyBorder="1" applyAlignment="1">
      <alignment horizontal="center" vertical="center" wrapText="1"/>
    </xf>
    <xf numFmtId="171" fontId="5" fillId="29" borderId="0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 shrinkToFit="1"/>
    </xf>
    <xf numFmtId="0" fontId="4" fillId="29" borderId="3" xfId="0" applyFont="1" applyFill="1" applyBorder="1" applyAlignment="1">
      <alignment horizontal="center" vertical="center" wrapText="1"/>
    </xf>
    <xf numFmtId="171" fontId="4" fillId="29" borderId="17" xfId="0" applyNumberFormat="1" applyFont="1" applyFill="1" applyBorder="1" applyAlignment="1">
      <alignment horizontal="center" vertical="center" wrapText="1"/>
    </xf>
    <xf numFmtId="171" fontId="5" fillId="29" borderId="17" xfId="0" applyNumberFormat="1" applyFont="1" applyFill="1" applyBorder="1" applyAlignment="1">
      <alignment horizontal="center" vertical="center" wrapText="1"/>
    </xf>
    <xf numFmtId="171" fontId="6" fillId="29" borderId="3" xfId="0" applyNumberFormat="1" applyFont="1" applyFill="1" applyBorder="1" applyAlignment="1">
      <alignment horizontal="center" vertical="center" wrapText="1"/>
    </xf>
    <xf numFmtId="171" fontId="6" fillId="29" borderId="17" xfId="0" applyNumberFormat="1" applyFont="1" applyFill="1" applyBorder="1" applyAlignment="1">
      <alignment horizontal="center" vertical="center" wrapText="1"/>
    </xf>
    <xf numFmtId="0" fontId="71" fillId="29" borderId="0" xfId="0" applyFont="1" applyFill="1" applyBorder="1" applyAlignment="1">
      <alignment vertical="center"/>
    </xf>
    <xf numFmtId="170" fontId="5" fillId="29" borderId="3" xfId="0" applyNumberFormat="1" applyFont="1" applyFill="1" applyBorder="1" applyAlignment="1">
      <alignment horizontal="left" vertical="center" wrapText="1"/>
    </xf>
    <xf numFmtId="171" fontId="4" fillId="29" borderId="3" xfId="0" applyNumberFormat="1" applyFont="1" applyFill="1" applyBorder="1" applyAlignment="1">
      <alignment horizontal="left" vertical="center" wrapText="1"/>
    </xf>
    <xf numFmtId="171" fontId="4" fillId="29" borderId="17" xfId="0" applyNumberFormat="1" applyFont="1" applyFill="1" applyBorder="1" applyAlignment="1">
      <alignment horizontal="left" vertical="center" wrapText="1"/>
    </xf>
    <xf numFmtId="171" fontId="4" fillId="29" borderId="17" xfId="0" quotePrefix="1" applyNumberFormat="1" applyFont="1" applyFill="1" applyBorder="1" applyAlignment="1">
      <alignment horizontal="center" vertical="center" wrapText="1"/>
    </xf>
    <xf numFmtId="171" fontId="5" fillId="29" borderId="0" xfId="0" applyNumberFormat="1" applyFont="1" applyFill="1" applyBorder="1" applyAlignment="1">
      <alignment vertical="center"/>
    </xf>
    <xf numFmtId="49" fontId="89" fillId="29" borderId="3" xfId="0" applyNumberFormat="1" applyFont="1" applyFill="1" applyBorder="1" applyAlignment="1">
      <alignment horizontal="left" vertical="center" wrapText="1"/>
    </xf>
    <xf numFmtId="0" fontId="89" fillId="29" borderId="3" xfId="0" quotePrefix="1" applyFont="1" applyFill="1" applyBorder="1" applyAlignment="1">
      <alignment horizontal="center" vertical="center"/>
    </xf>
    <xf numFmtId="0" fontId="89" fillId="29" borderId="0" xfId="0" applyFont="1" applyFill="1" applyAlignment="1">
      <alignment vertical="center"/>
    </xf>
    <xf numFmtId="171" fontId="89" fillId="29" borderId="3" xfId="0" applyNumberFormat="1" applyFont="1" applyFill="1" applyBorder="1" applyAlignment="1">
      <alignment horizontal="center" vertical="center" wrapText="1"/>
    </xf>
    <xf numFmtId="171" fontId="89" fillId="29" borderId="17" xfId="0" applyNumberFormat="1" applyFont="1" applyFill="1" applyBorder="1" applyAlignment="1">
      <alignment horizontal="center" vertical="center" wrapText="1"/>
    </xf>
    <xf numFmtId="171" fontId="6" fillId="0" borderId="3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89" fillId="29" borderId="0" xfId="0" applyFont="1" applyFill="1" applyBorder="1" applyAlignment="1">
      <alignment vertical="center"/>
    </xf>
    <xf numFmtId="170" fontId="5" fillId="29" borderId="0" xfId="0" applyNumberFormat="1" applyFont="1" applyFill="1" applyBorder="1" applyAlignment="1">
      <alignment vertical="center"/>
    </xf>
    <xf numFmtId="171" fontId="9" fillId="29" borderId="17" xfId="0" applyNumberFormat="1" applyFont="1" applyFill="1" applyBorder="1" applyAlignment="1">
      <alignment horizontal="center" vertical="center" wrapText="1"/>
    </xf>
    <xf numFmtId="0" fontId="72" fillId="29" borderId="3" xfId="0" applyFont="1" applyFill="1" applyBorder="1" applyAlignment="1">
      <alignment horizontal="left" vertical="center" wrapText="1"/>
    </xf>
    <xf numFmtId="0" fontId="72" fillId="29" borderId="19" xfId="0" quotePrefix="1" applyFont="1" applyFill="1" applyBorder="1" applyAlignment="1">
      <alignment horizontal="center" vertical="center"/>
    </xf>
    <xf numFmtId="171" fontId="72" fillId="29" borderId="3" xfId="0" applyNumberFormat="1" applyFont="1" applyFill="1" applyBorder="1" applyAlignment="1">
      <alignment horizontal="center" vertical="center" wrapText="1"/>
    </xf>
    <xf numFmtId="171" fontId="72" fillId="29" borderId="17" xfId="0" applyNumberFormat="1" applyFont="1" applyFill="1" applyBorder="1" applyAlignment="1">
      <alignment horizontal="center" vertical="center" wrapText="1"/>
    </xf>
    <xf numFmtId="171" fontId="90" fillId="29" borderId="0" xfId="0" applyNumberFormat="1" applyFont="1" applyFill="1" applyBorder="1" applyAlignment="1">
      <alignment vertical="center"/>
    </xf>
    <xf numFmtId="0" fontId="90" fillId="29" borderId="0" xfId="0" applyFont="1" applyFill="1" applyBorder="1" applyAlignment="1">
      <alignment vertical="center"/>
    </xf>
    <xf numFmtId="0" fontId="4" fillId="29" borderId="3" xfId="0" applyFont="1" applyFill="1" applyBorder="1" applyAlignment="1">
      <alignment horizontal="left" vertical="center" wrapText="1"/>
    </xf>
    <xf numFmtId="171" fontId="5" fillId="29" borderId="17" xfId="0" quotePrefix="1" applyNumberFormat="1" applyFont="1" applyFill="1" applyBorder="1" applyAlignment="1">
      <alignment horizontal="center" vertical="center" wrapText="1"/>
    </xf>
    <xf numFmtId="0" fontId="4" fillId="29" borderId="3" xfId="0" quotePrefix="1" applyFont="1" applyFill="1" applyBorder="1" applyAlignment="1">
      <alignment horizontal="center" vertical="center" wrapText="1"/>
    </xf>
    <xf numFmtId="0" fontId="4" fillId="29" borderId="0" xfId="0" quotePrefix="1" applyFont="1" applyFill="1" applyBorder="1" applyAlignment="1">
      <alignment horizontal="center" vertical="center" wrapText="1"/>
    </xf>
    <xf numFmtId="171" fontId="4" fillId="29" borderId="0" xfId="0" quotePrefix="1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right" vertical="center" wrapText="1"/>
    </xf>
    <xf numFmtId="171" fontId="91" fillId="0" borderId="3" xfId="0" applyNumberFormat="1" applyFont="1" applyFill="1" applyBorder="1" applyAlignment="1">
      <alignment vertical="center"/>
    </xf>
    <xf numFmtId="171" fontId="91" fillId="0" borderId="3" xfId="0" applyNumberFormat="1" applyFont="1" applyFill="1" applyBorder="1" applyAlignment="1">
      <alignment vertical="center" wrapText="1"/>
    </xf>
    <xf numFmtId="171" fontId="91" fillId="0" borderId="26" xfId="0" applyNumberFormat="1" applyFont="1" applyFill="1" applyBorder="1" applyAlignment="1">
      <alignment vertical="center" wrapText="1"/>
    </xf>
    <xf numFmtId="171" fontId="91" fillId="0" borderId="19" xfId="0" applyNumberFormat="1" applyFont="1" applyFill="1" applyBorder="1" applyAlignment="1">
      <alignment vertical="center" wrapText="1"/>
    </xf>
    <xf numFmtId="171" fontId="92" fillId="35" borderId="3" xfId="0" applyNumberFormat="1" applyFont="1" applyFill="1" applyBorder="1" applyAlignment="1">
      <alignment horizontal="center" vertical="center" wrapText="1"/>
    </xf>
    <xf numFmtId="171" fontId="91" fillId="0" borderId="0" xfId="0" applyNumberFormat="1" applyFont="1" applyFill="1" applyBorder="1" applyAlignment="1">
      <alignment vertical="center"/>
    </xf>
    <xf numFmtId="0" fontId="5" fillId="0" borderId="0" xfId="0" quotePrefix="1" applyFont="1" applyFill="1" applyBorder="1" applyAlignment="1"/>
    <xf numFmtId="171" fontId="6" fillId="0" borderId="0" xfId="0" applyNumberFormat="1" applyFont="1" applyFill="1" applyBorder="1" applyAlignment="1"/>
    <xf numFmtId="0" fontId="4" fillId="0" borderId="13" xfId="0" applyFont="1" applyFill="1" applyBorder="1" applyAlignment="1">
      <alignment horizontal="center" wrapText="1"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vertical="center"/>
    </xf>
    <xf numFmtId="0" fontId="93" fillId="0" borderId="0" xfId="0" applyFont="1" applyFill="1" applyAlignment="1">
      <alignment horizontal="left" vertical="center"/>
    </xf>
    <xf numFmtId="0" fontId="71" fillId="0" borderId="0" xfId="0" applyFont="1" applyFill="1" applyBorder="1" applyAlignment="1">
      <alignment horizontal="center" vertical="center"/>
    </xf>
    <xf numFmtId="171" fontId="71" fillId="0" borderId="3" xfId="0" applyNumberFormat="1" applyFont="1" applyFill="1" applyBorder="1" applyAlignment="1">
      <alignment horizontal="center" vertical="center"/>
    </xf>
    <xf numFmtId="171" fontId="71" fillId="0" borderId="0" xfId="0" applyNumberFormat="1" applyFont="1" applyFill="1" applyBorder="1" applyAlignment="1">
      <alignment horizontal="center" vertical="center"/>
    </xf>
    <xf numFmtId="0" fontId="94" fillId="29" borderId="3" xfId="0" applyFont="1" applyFill="1" applyBorder="1" applyAlignment="1">
      <alignment horizontal="left" vertical="center" wrapText="1"/>
    </xf>
    <xf numFmtId="0" fontId="94" fillId="29" borderId="3" xfId="0" quotePrefix="1" applyFont="1" applyFill="1" applyBorder="1" applyAlignment="1">
      <alignment horizontal="center" vertical="center"/>
    </xf>
    <xf numFmtId="170" fontId="94" fillId="29" borderId="3" xfId="0" applyNumberFormat="1" applyFont="1" applyFill="1" applyBorder="1" applyAlignment="1">
      <alignment horizontal="center" vertical="center" wrapText="1"/>
    </xf>
    <xf numFmtId="171" fontId="94" fillId="29" borderId="3" xfId="0" applyNumberFormat="1" applyFont="1" applyFill="1" applyBorder="1" applyAlignment="1">
      <alignment horizontal="center" vertical="center" wrapText="1"/>
    </xf>
    <xf numFmtId="171" fontId="94" fillId="29" borderId="17" xfId="0" applyNumberFormat="1" applyFont="1" applyFill="1" applyBorder="1" applyAlignment="1">
      <alignment horizontal="center" vertical="center" wrapText="1"/>
    </xf>
    <xf numFmtId="171" fontId="95" fillId="0" borderId="3" xfId="0" applyNumberFormat="1" applyFont="1" applyFill="1" applyBorder="1" applyAlignment="1">
      <alignment horizontal="center" vertical="center"/>
    </xf>
    <xf numFmtId="170" fontId="94" fillId="29" borderId="3" xfId="0" quotePrefix="1" applyNumberFormat="1" applyFont="1" applyFill="1" applyBorder="1" applyAlignment="1">
      <alignment horizontal="center" vertical="center" wrapText="1"/>
    </xf>
    <xf numFmtId="171" fontId="94" fillId="29" borderId="3" xfId="0" quotePrefix="1" applyNumberFormat="1" applyFont="1" applyFill="1" applyBorder="1" applyAlignment="1">
      <alignment horizontal="center" vertical="center" wrapText="1"/>
    </xf>
    <xf numFmtId="171" fontId="94" fillId="29" borderId="17" xfId="0" quotePrefix="1" applyNumberFormat="1" applyFont="1" applyFill="1" applyBorder="1" applyAlignment="1">
      <alignment horizontal="center" vertical="center" wrapText="1"/>
    </xf>
    <xf numFmtId="0" fontId="94" fillId="35" borderId="3" xfId="0" applyFont="1" applyFill="1" applyBorder="1" applyAlignment="1">
      <alignment horizontal="left" vertical="center" wrapText="1"/>
    </xf>
    <xf numFmtId="0" fontId="94" fillId="35" borderId="3" xfId="0" quotePrefix="1" applyFont="1" applyFill="1" applyBorder="1" applyAlignment="1">
      <alignment horizontal="center" vertical="center"/>
    </xf>
    <xf numFmtId="170" fontId="94" fillId="35" borderId="3" xfId="0" applyNumberFormat="1" applyFont="1" applyFill="1" applyBorder="1" applyAlignment="1">
      <alignment horizontal="center" vertical="center" wrapText="1"/>
    </xf>
    <xf numFmtId="171" fontId="94" fillId="35" borderId="3" xfId="0" applyNumberFormat="1" applyFont="1" applyFill="1" applyBorder="1" applyAlignment="1">
      <alignment horizontal="center" vertical="center" wrapText="1"/>
    </xf>
    <xf numFmtId="171" fontId="95" fillId="35" borderId="3" xfId="0" applyNumberFormat="1" applyFont="1" applyFill="1" applyBorder="1" applyAlignment="1">
      <alignment horizontal="center" vertical="center"/>
    </xf>
    <xf numFmtId="0" fontId="96" fillId="0" borderId="3" xfId="0" applyFont="1" applyFill="1" applyBorder="1" applyAlignment="1">
      <alignment horizontal="left" vertical="center" wrapText="1"/>
    </xf>
    <xf numFmtId="0" fontId="96" fillId="0" borderId="3" xfId="0" quotePrefix="1" applyFont="1" applyFill="1" applyBorder="1" applyAlignment="1">
      <alignment horizontal="center" vertical="center"/>
    </xf>
    <xf numFmtId="170" fontId="96" fillId="29" borderId="3" xfId="0" quotePrefix="1" applyNumberFormat="1" applyFont="1" applyFill="1" applyBorder="1" applyAlignment="1">
      <alignment horizontal="center" vertical="center" wrapText="1"/>
    </xf>
    <xf numFmtId="171" fontId="96" fillId="29" borderId="3" xfId="0" quotePrefix="1" applyNumberFormat="1" applyFont="1" applyFill="1" applyBorder="1" applyAlignment="1">
      <alignment horizontal="center" vertical="center" wrapText="1"/>
    </xf>
    <xf numFmtId="171" fontId="96" fillId="29" borderId="3" xfId="0" applyNumberFormat="1" applyFont="1" applyFill="1" applyBorder="1" applyAlignment="1">
      <alignment horizontal="center" vertical="center" wrapText="1"/>
    </xf>
    <xf numFmtId="171" fontId="96" fillId="0" borderId="3" xfId="0" quotePrefix="1" applyNumberFormat="1" applyFont="1" applyFill="1" applyBorder="1" applyAlignment="1">
      <alignment horizontal="center" vertical="center" wrapText="1"/>
    </xf>
    <xf numFmtId="171" fontId="96" fillId="0" borderId="17" xfId="0" quotePrefix="1" applyNumberFormat="1" applyFont="1" applyFill="1" applyBorder="1" applyAlignment="1">
      <alignment horizontal="center" vertical="center" wrapText="1"/>
    </xf>
    <xf numFmtId="171" fontId="97" fillId="0" borderId="3" xfId="0" applyNumberFormat="1" applyFont="1" applyFill="1" applyBorder="1" applyAlignment="1">
      <alignment horizontal="center" vertical="center"/>
    </xf>
    <xf numFmtId="0" fontId="72" fillId="29" borderId="3" xfId="0" quotePrefix="1" applyFont="1" applyFill="1" applyBorder="1" applyAlignment="1">
      <alignment horizontal="center" vertical="center"/>
    </xf>
    <xf numFmtId="170" fontId="72" fillId="29" borderId="3" xfId="0" quotePrefix="1" applyNumberFormat="1" applyFont="1" applyFill="1" applyBorder="1" applyAlignment="1">
      <alignment horizontal="center" vertical="center" wrapText="1"/>
    </xf>
    <xf numFmtId="171" fontId="72" fillId="0" borderId="3" xfId="0" applyNumberFormat="1" applyFont="1" applyFill="1" applyBorder="1" applyAlignment="1">
      <alignment horizontal="center" vertical="center"/>
    </xf>
    <xf numFmtId="171" fontId="80" fillId="29" borderId="3" xfId="0" applyNumberFormat="1" applyFont="1" applyFill="1" applyBorder="1" applyAlignment="1">
      <alignment horizontal="center" vertical="center" wrapText="1"/>
    </xf>
    <xf numFmtId="0" fontId="9" fillId="29" borderId="3" xfId="0" quotePrefix="1" applyFont="1" applyFill="1" applyBorder="1" applyAlignment="1">
      <alignment horizontal="center" vertical="center"/>
    </xf>
    <xf numFmtId="170" fontId="9" fillId="29" borderId="3" xfId="0" quotePrefix="1" applyNumberFormat="1" applyFont="1" applyFill="1" applyBorder="1" applyAlignment="1">
      <alignment horizontal="center" vertical="center" wrapText="1"/>
    </xf>
    <xf numFmtId="0" fontId="9" fillId="29" borderId="16" xfId="0" applyFont="1" applyFill="1" applyBorder="1" applyAlignment="1">
      <alignment horizontal="left" vertical="center" wrapText="1"/>
    </xf>
    <xf numFmtId="0" fontId="9" fillId="29" borderId="16" xfId="0" quotePrefix="1" applyFont="1" applyFill="1" applyBorder="1" applyAlignment="1">
      <alignment horizontal="center" vertical="center"/>
    </xf>
    <xf numFmtId="170" fontId="9" fillId="29" borderId="16" xfId="0" applyNumberFormat="1" applyFont="1" applyFill="1" applyBorder="1" applyAlignment="1">
      <alignment horizontal="center" vertical="center" wrapText="1"/>
    </xf>
    <xf numFmtId="171" fontId="9" fillId="29" borderId="16" xfId="0" applyNumberFormat="1" applyFont="1" applyFill="1" applyBorder="1" applyAlignment="1">
      <alignment horizontal="center" vertical="center" wrapText="1"/>
    </xf>
    <xf numFmtId="171" fontId="9" fillId="29" borderId="21" xfId="0" applyNumberFormat="1" applyFont="1" applyFill="1" applyBorder="1" applyAlignment="1">
      <alignment horizontal="center" vertical="center" wrapText="1"/>
    </xf>
    <xf numFmtId="0" fontId="9" fillId="29" borderId="18" xfId="0" applyFont="1" applyFill="1" applyBorder="1" applyAlignment="1">
      <alignment horizontal="left" vertical="center" wrapText="1"/>
    </xf>
    <xf numFmtId="0" fontId="9" fillId="29" borderId="18" xfId="0" quotePrefix="1" applyFont="1" applyFill="1" applyBorder="1" applyAlignment="1">
      <alignment horizontal="center" vertical="center"/>
    </xf>
    <xf numFmtId="170" fontId="9" fillId="29" borderId="18" xfId="0" applyNumberFormat="1" applyFont="1" applyFill="1" applyBorder="1" applyAlignment="1">
      <alignment horizontal="center" vertical="center" wrapText="1"/>
    </xf>
    <xf numFmtId="171" fontId="9" fillId="29" borderId="18" xfId="0" applyNumberFormat="1" applyFont="1" applyFill="1" applyBorder="1" applyAlignment="1">
      <alignment horizontal="center" vertical="center" wrapText="1"/>
    </xf>
    <xf numFmtId="171" fontId="72" fillId="29" borderId="18" xfId="0" applyNumberFormat="1" applyFont="1" applyFill="1" applyBorder="1" applyAlignment="1">
      <alignment horizontal="center" vertical="center" wrapText="1"/>
    </xf>
    <xf numFmtId="171" fontId="9" fillId="29" borderId="18" xfId="0" applyNumberFormat="1" applyFont="1" applyFill="1" applyBorder="1" applyAlignment="1">
      <alignment horizontal="right" vertical="center" wrapText="1"/>
    </xf>
    <xf numFmtId="0" fontId="9" fillId="29" borderId="19" xfId="0" applyFont="1" applyFill="1" applyBorder="1" applyAlignment="1">
      <alignment horizontal="left" vertical="center" wrapText="1"/>
    </xf>
    <xf numFmtId="0" fontId="9" fillId="29" borderId="19" xfId="0" quotePrefix="1" applyFont="1" applyFill="1" applyBorder="1" applyAlignment="1">
      <alignment horizontal="center" vertical="center"/>
    </xf>
    <xf numFmtId="170" fontId="9" fillId="29" borderId="19" xfId="0" applyNumberFormat="1" applyFont="1" applyFill="1" applyBorder="1" applyAlignment="1">
      <alignment horizontal="center" vertical="center" wrapText="1"/>
    </xf>
    <xf numFmtId="171" fontId="9" fillId="29" borderId="19" xfId="0" applyNumberFormat="1" applyFont="1" applyFill="1" applyBorder="1" applyAlignment="1">
      <alignment horizontal="center" vertical="center" wrapText="1"/>
    </xf>
    <xf numFmtId="171" fontId="9" fillId="29" borderId="25" xfId="0" applyNumberFormat="1" applyFont="1" applyFill="1" applyBorder="1" applyAlignment="1">
      <alignment horizontal="center" vertical="center" wrapText="1"/>
    </xf>
    <xf numFmtId="171" fontId="72" fillId="29" borderId="19" xfId="0" applyNumberFormat="1" applyFont="1" applyFill="1" applyBorder="1" applyAlignment="1">
      <alignment horizontal="center" vertical="center" wrapText="1"/>
    </xf>
    <xf numFmtId="49" fontId="72" fillId="29" borderId="3" xfId="0" applyNumberFormat="1" applyFont="1" applyFill="1" applyBorder="1" applyAlignment="1">
      <alignment horizontal="left" vertical="center" wrapText="1"/>
    </xf>
    <xf numFmtId="0" fontId="94" fillId="29" borderId="3" xfId="0" applyFont="1" applyFill="1" applyBorder="1" applyAlignment="1">
      <alignment horizontal="left" vertical="center" wrapText="1" shrinkToFit="1"/>
    </xf>
    <xf numFmtId="0" fontId="96" fillId="35" borderId="3" xfId="0" applyFont="1" applyFill="1" applyBorder="1" applyAlignment="1">
      <alignment horizontal="left" vertical="center" wrapText="1"/>
    </xf>
    <xf numFmtId="0" fontId="96" fillId="35" borderId="19" xfId="0" applyFont="1" applyFill="1" applyBorder="1" applyAlignment="1">
      <alignment horizontal="center" vertical="center"/>
    </xf>
    <xf numFmtId="170" fontId="96" fillId="35" borderId="3" xfId="0" applyNumberFormat="1" applyFont="1" applyFill="1" applyBorder="1" applyAlignment="1">
      <alignment horizontal="center" vertical="center" wrapText="1"/>
    </xf>
    <xf numFmtId="171" fontId="96" fillId="35" borderId="3" xfId="0" applyNumberFormat="1" applyFont="1" applyFill="1" applyBorder="1" applyAlignment="1">
      <alignment horizontal="center" vertical="center" wrapText="1"/>
    </xf>
    <xf numFmtId="171" fontId="97" fillId="35" borderId="3" xfId="0" applyNumberFormat="1" applyFont="1" applyFill="1" applyBorder="1" applyAlignment="1">
      <alignment horizontal="center" vertical="center"/>
    </xf>
    <xf numFmtId="0" fontId="72" fillId="29" borderId="3" xfId="0" applyFont="1" applyFill="1" applyBorder="1" applyAlignment="1">
      <alignment horizontal="right" vertical="center" wrapText="1"/>
    </xf>
    <xf numFmtId="16" fontId="72" fillId="29" borderId="3" xfId="0" quotePrefix="1" applyNumberFormat="1" applyFont="1" applyFill="1" applyBorder="1" applyAlignment="1">
      <alignment horizontal="center" vertical="center"/>
    </xf>
    <xf numFmtId="171" fontId="95" fillId="29" borderId="3" xfId="0" applyNumberFormat="1" applyFont="1" applyFill="1" applyBorder="1" applyAlignment="1">
      <alignment horizontal="center" vertical="center" wrapText="1"/>
    </xf>
    <xf numFmtId="0" fontId="72" fillId="29" borderId="3" xfId="0" applyFont="1" applyFill="1" applyBorder="1" applyAlignment="1">
      <alignment wrapText="1"/>
    </xf>
    <xf numFmtId="0" fontId="72" fillId="29" borderId="16" xfId="0" applyFont="1" applyFill="1" applyBorder="1" applyAlignment="1">
      <alignment wrapText="1"/>
    </xf>
    <xf numFmtId="0" fontId="72" fillId="29" borderId="16" xfId="0" quotePrefix="1" applyFont="1" applyFill="1" applyBorder="1" applyAlignment="1">
      <alignment horizontal="center" vertical="center"/>
    </xf>
    <xf numFmtId="170" fontId="72" fillId="29" borderId="16" xfId="0" quotePrefix="1" applyNumberFormat="1" applyFont="1" applyFill="1" applyBorder="1" applyAlignment="1">
      <alignment horizontal="center" vertical="center" wrapText="1"/>
    </xf>
    <xf numFmtId="171" fontId="72" fillId="29" borderId="16" xfId="0" applyNumberFormat="1" applyFont="1" applyFill="1" applyBorder="1" applyAlignment="1">
      <alignment horizontal="center" vertical="center" wrapText="1"/>
    </xf>
    <xf numFmtId="171" fontId="72" fillId="29" borderId="21" xfId="0" applyNumberFormat="1" applyFont="1" applyFill="1" applyBorder="1" applyAlignment="1">
      <alignment horizontal="center" vertical="center" wrapText="1"/>
    </xf>
    <xf numFmtId="0" fontId="72" fillId="29" borderId="18" xfId="0" applyFont="1" applyFill="1" applyBorder="1" applyAlignment="1">
      <alignment wrapText="1"/>
    </xf>
    <xf numFmtId="171" fontId="72" fillId="29" borderId="18" xfId="0" applyNumberFormat="1" applyFont="1" applyFill="1" applyBorder="1" applyAlignment="1">
      <alignment wrapText="1"/>
    </xf>
    <xf numFmtId="0" fontId="94" fillId="29" borderId="19" xfId="0" applyFont="1" applyFill="1" applyBorder="1" applyAlignment="1">
      <alignment horizontal="left" vertical="center" wrapText="1"/>
    </xf>
    <xf numFmtId="0" fontId="94" fillId="29" borderId="19" xfId="0" quotePrefix="1" applyFont="1" applyFill="1" applyBorder="1" applyAlignment="1">
      <alignment horizontal="center" vertical="center"/>
    </xf>
    <xf numFmtId="170" fontId="94" fillId="29" borderId="19" xfId="0" applyNumberFormat="1" applyFont="1" applyFill="1" applyBorder="1" applyAlignment="1">
      <alignment horizontal="center" vertical="center" wrapText="1"/>
    </xf>
    <xf numFmtId="171" fontId="94" fillId="29" borderId="19" xfId="0" applyNumberFormat="1" applyFont="1" applyFill="1" applyBorder="1" applyAlignment="1">
      <alignment horizontal="center" vertical="center" wrapText="1"/>
    </xf>
    <xf numFmtId="171" fontId="94" fillId="29" borderId="2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center" vertical="center"/>
    </xf>
    <xf numFmtId="171" fontId="9" fillId="0" borderId="17" xfId="0" applyNumberFormat="1" applyFont="1" applyFill="1" applyBorder="1" applyAlignment="1">
      <alignment horizontal="center" vertical="center" wrapText="1"/>
    </xf>
    <xf numFmtId="0" fontId="9" fillId="29" borderId="3" xfId="0" quotePrefix="1" applyFont="1" applyFill="1" applyBorder="1" applyAlignment="1">
      <alignment horizontal="center" vertical="center" wrapText="1"/>
    </xf>
    <xf numFmtId="0" fontId="94" fillId="29" borderId="3" xfId="0" quotePrefix="1" applyFont="1" applyFill="1" applyBorder="1" applyAlignment="1">
      <alignment horizontal="center" vertical="center" wrapText="1"/>
    </xf>
    <xf numFmtId="4" fontId="94" fillId="29" borderId="3" xfId="0" quotePrefix="1" applyNumberFormat="1" applyFont="1" applyFill="1" applyBorder="1" applyAlignment="1">
      <alignment horizontal="center" vertical="center" wrapText="1"/>
    </xf>
    <xf numFmtId="4" fontId="94" fillId="29" borderId="3" xfId="0" applyNumberFormat="1" applyFont="1" applyFill="1" applyBorder="1" applyAlignment="1">
      <alignment horizontal="center" vertical="center" wrapText="1"/>
    </xf>
    <xf numFmtId="4" fontId="95" fillId="0" borderId="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29" borderId="0" xfId="0" applyFont="1" applyFill="1" applyBorder="1" applyAlignment="1">
      <alignment horizontal="center" vertical="center" wrapText="1"/>
    </xf>
    <xf numFmtId="0" fontId="5" fillId="29" borderId="3" xfId="0" quotePrefix="1" applyFont="1" applyFill="1" applyBorder="1" applyAlignment="1">
      <alignment horizontal="center" vertical="center" wrapText="1"/>
    </xf>
    <xf numFmtId="49" fontId="94" fillId="35" borderId="3" xfId="0" applyNumberFormat="1" applyFont="1" applyFill="1" applyBorder="1" applyAlignment="1">
      <alignment horizontal="center" vertical="center" wrapText="1"/>
    </xf>
    <xf numFmtId="171" fontId="92" fillId="35" borderId="3" xfId="0" applyNumberFormat="1" applyFont="1" applyFill="1" applyBorder="1" applyAlignment="1">
      <alignment horizontal="left" vertical="center" wrapText="1"/>
    </xf>
    <xf numFmtId="179" fontId="5" fillId="0" borderId="0" xfId="0" applyNumberFormat="1" applyFont="1" applyFill="1" applyBorder="1" applyAlignment="1">
      <alignment vertical="center"/>
    </xf>
    <xf numFmtId="0" fontId="93" fillId="0" borderId="0" xfId="0" applyFont="1" applyFill="1" applyAlignment="1">
      <alignment horizontal="center" vertical="center"/>
    </xf>
    <xf numFmtId="171" fontId="5" fillId="0" borderId="0" xfId="0" applyNumberFormat="1" applyFont="1" applyFill="1" applyBorder="1" applyAlignment="1">
      <alignment wrapText="1"/>
    </xf>
    <xf numFmtId="0" fontId="5" fillId="0" borderId="13" xfId="0" applyFont="1" applyFill="1" applyBorder="1" applyAlignment="1"/>
    <xf numFmtId="0" fontId="93" fillId="0" borderId="0" xfId="0" applyFont="1" applyFill="1" applyBorder="1" applyAlignment="1">
      <alignment horizontal="left" vertical="center"/>
    </xf>
    <xf numFmtId="0" fontId="4" fillId="29" borderId="17" xfId="0" applyFont="1" applyFill="1" applyBorder="1" applyAlignment="1">
      <alignment horizontal="center" vertical="center" wrapText="1"/>
    </xf>
    <xf numFmtId="0" fontId="4" fillId="29" borderId="18" xfId="0" applyFont="1" applyFill="1" applyBorder="1" applyAlignment="1">
      <alignment horizontal="center" vertical="center" wrapText="1"/>
    </xf>
    <xf numFmtId="0" fontId="4" fillId="29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9" fillId="0" borderId="16" xfId="0" applyFont="1" applyFill="1" applyBorder="1" applyAlignment="1">
      <alignment horizontal="center" vertical="center" wrapText="1"/>
    </xf>
    <xf numFmtId="0" fontId="89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1" fontId="91" fillId="0" borderId="16" xfId="0" applyNumberFormat="1" applyFont="1" applyFill="1" applyBorder="1" applyAlignment="1">
      <alignment horizontal="left" vertical="center" wrapText="1"/>
    </xf>
    <xf numFmtId="171" fontId="91" fillId="0" borderId="19" xfId="0" applyNumberFormat="1" applyFont="1" applyFill="1" applyBorder="1" applyAlignment="1">
      <alignment horizontal="left" vertical="center" wrapText="1"/>
    </xf>
    <xf numFmtId="171" fontId="91" fillId="0" borderId="26" xfId="0" applyNumberFormat="1" applyFont="1" applyFill="1" applyBorder="1" applyAlignment="1">
      <alignment horizontal="left" vertical="center" wrapText="1"/>
    </xf>
    <xf numFmtId="0" fontId="95" fillId="29" borderId="17" xfId="0" applyFont="1" applyFill="1" applyBorder="1" applyAlignment="1">
      <alignment horizontal="left" vertical="center" wrapText="1"/>
    </xf>
    <xf numFmtId="0" fontId="95" fillId="29" borderId="18" xfId="0" applyFont="1" applyFill="1" applyBorder="1" applyAlignment="1">
      <alignment horizontal="left" vertical="center" wrapText="1"/>
    </xf>
    <xf numFmtId="0" fontId="95" fillId="29" borderId="14" xfId="0" applyFont="1" applyFill="1" applyBorder="1" applyAlignment="1">
      <alignment horizontal="left" vertical="center" wrapText="1"/>
    </xf>
    <xf numFmtId="0" fontId="4" fillId="29" borderId="3" xfId="0" applyFont="1" applyFill="1" applyBorder="1" applyAlignment="1">
      <alignment horizontal="left" vertical="center" wrapText="1"/>
    </xf>
    <xf numFmtId="0" fontId="4" fillId="29" borderId="17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29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" fillId="32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248" applyFont="1" applyFill="1" applyBorder="1" applyAlignment="1">
      <alignment horizontal="center" vertical="center"/>
    </xf>
    <xf numFmtId="0" fontId="5" fillId="0" borderId="3" xfId="248" applyFont="1" applyFill="1" applyBorder="1" applyAlignment="1">
      <alignment horizontal="center" vertical="center" wrapText="1"/>
    </xf>
    <xf numFmtId="0" fontId="5" fillId="0" borderId="16" xfId="248" applyFont="1" applyFill="1" applyBorder="1" applyAlignment="1">
      <alignment horizontal="center" vertical="center" wrapText="1"/>
    </xf>
    <xf numFmtId="0" fontId="4" fillId="0" borderId="3" xfId="248" applyFont="1" applyFill="1" applyBorder="1" applyAlignment="1">
      <alignment horizontal="left" vertical="center" wrapText="1"/>
    </xf>
    <xf numFmtId="0" fontId="5" fillId="0" borderId="19" xfId="248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5" fillId="29" borderId="17" xfId="0" applyFont="1" applyFill="1" applyBorder="1" applyAlignment="1">
      <alignment horizontal="left" vertical="center" wrapText="1"/>
    </xf>
    <xf numFmtId="0" fontId="5" fillId="29" borderId="18" xfId="0" applyFont="1" applyFill="1" applyBorder="1" applyAlignment="1">
      <alignment horizontal="left" vertical="center" wrapText="1"/>
    </xf>
    <xf numFmtId="0" fontId="0" fillId="29" borderId="14" xfId="0" applyFill="1" applyBorder="1" applyAlignment="1">
      <alignment horizontal="left" vertical="center" wrapText="1"/>
    </xf>
    <xf numFmtId="3" fontId="4" fillId="29" borderId="17" xfId="0" applyNumberFormat="1" applyFont="1" applyFill="1" applyBorder="1" applyAlignment="1">
      <alignment horizontal="left" vertical="center" wrapText="1"/>
    </xf>
    <xf numFmtId="3" fontId="4" fillId="29" borderId="18" xfId="0" applyNumberFormat="1" applyFont="1" applyFill="1" applyBorder="1" applyAlignment="1">
      <alignment horizontal="left" vertical="center" wrapText="1"/>
    </xf>
    <xf numFmtId="0" fontId="75" fillId="29" borderId="14" xfId="0" applyFont="1" applyFill="1" applyBorder="1" applyAlignment="1">
      <alignment horizontal="left" vertical="center" wrapText="1"/>
    </xf>
    <xf numFmtId="0" fontId="5" fillId="29" borderId="21" xfId="0" applyFont="1" applyFill="1" applyBorder="1" applyAlignment="1">
      <alignment horizontal="center" vertical="center" wrapText="1"/>
    </xf>
    <xf numFmtId="0" fontId="5" fillId="29" borderId="20" xfId="0" applyFont="1" applyFill="1" applyBorder="1" applyAlignment="1">
      <alignment horizontal="center" vertical="center" wrapText="1"/>
    </xf>
    <xf numFmtId="0" fontId="0" fillId="29" borderId="22" xfId="0" applyFill="1" applyBorder="1" applyAlignment="1">
      <alignment horizontal="center" vertical="center" wrapText="1"/>
    </xf>
    <xf numFmtId="0" fontId="5" fillId="29" borderId="23" xfId="0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center" vertical="center" wrapText="1"/>
    </xf>
    <xf numFmtId="0" fontId="0" fillId="29" borderId="24" xfId="0" applyFill="1" applyBorder="1" applyAlignment="1">
      <alignment horizontal="center" vertical="center" wrapText="1"/>
    </xf>
    <xf numFmtId="0" fontId="5" fillId="29" borderId="25" xfId="0" applyFont="1" applyFill="1" applyBorder="1" applyAlignment="1">
      <alignment horizontal="center" vertical="center" wrapText="1"/>
    </xf>
    <xf numFmtId="0" fontId="5" fillId="29" borderId="13" xfId="0" applyFont="1" applyFill="1" applyBorder="1" applyAlignment="1">
      <alignment horizontal="center" vertical="center" wrapText="1"/>
    </xf>
    <xf numFmtId="0" fontId="0" fillId="29" borderId="15" xfId="0" applyFill="1" applyBorder="1" applyAlignment="1">
      <alignment horizontal="center" vertical="center" wrapText="1"/>
    </xf>
    <xf numFmtId="0" fontId="5" fillId="29" borderId="17" xfId="0" applyFont="1" applyFill="1" applyBorder="1" applyAlignment="1">
      <alignment horizontal="center" vertical="center" wrapText="1"/>
    </xf>
    <xf numFmtId="0" fontId="5" fillId="29" borderId="18" xfId="0" applyFont="1" applyFill="1" applyBorder="1" applyAlignment="1">
      <alignment horizontal="center" vertical="center" wrapText="1"/>
    </xf>
    <xf numFmtId="0" fontId="0" fillId="29" borderId="14" xfId="0" applyFill="1" applyBorder="1" applyAlignment="1">
      <alignment horizontal="center" vertical="center" wrapText="1"/>
    </xf>
    <xf numFmtId="3" fontId="5" fillId="29" borderId="17" xfId="0" applyNumberFormat="1" applyFont="1" applyFill="1" applyBorder="1" applyAlignment="1">
      <alignment horizontal="left" vertical="center" wrapText="1"/>
    </xf>
    <xf numFmtId="3" fontId="5" fillId="29" borderId="18" xfId="0" applyNumberFormat="1" applyFont="1" applyFill="1" applyBorder="1" applyAlignment="1">
      <alignment horizontal="left" vertical="center" wrapText="1"/>
    </xf>
    <xf numFmtId="0" fontId="0" fillId="29" borderId="18" xfId="0" applyFill="1" applyBorder="1" applyAlignment="1">
      <alignment horizontal="left" vertical="center" wrapText="1"/>
    </xf>
    <xf numFmtId="0" fontId="9" fillId="29" borderId="17" xfId="0" applyFont="1" applyFill="1" applyBorder="1" applyAlignment="1">
      <alignment horizontal="center" vertical="center" wrapText="1" shrinkToFit="1"/>
    </xf>
    <xf numFmtId="0" fontId="9" fillId="29" borderId="18" xfId="0" applyFont="1" applyFill="1" applyBorder="1" applyAlignment="1">
      <alignment horizontal="center" vertical="center" wrapText="1" shrinkToFit="1"/>
    </xf>
    <xf numFmtId="0" fontId="0" fillId="29" borderId="14" xfId="0" applyFill="1" applyBorder="1" applyAlignment="1">
      <alignment horizontal="center" vertical="center" wrapText="1" shrinkToFit="1"/>
    </xf>
    <xf numFmtId="0" fontId="4" fillId="29" borderId="0" xfId="0" applyFont="1" applyFill="1" applyBorder="1" applyAlignment="1">
      <alignment horizontal="left" vertical="center"/>
    </xf>
    <xf numFmtId="0" fontId="5" fillId="29" borderId="16" xfId="0" applyFont="1" applyFill="1" applyBorder="1" applyAlignment="1">
      <alignment horizontal="center" vertical="center" wrapText="1"/>
    </xf>
    <xf numFmtId="0" fontId="5" fillId="29" borderId="26" xfId="0" applyFont="1" applyFill="1" applyBorder="1" applyAlignment="1">
      <alignment horizontal="center" vertical="center" wrapText="1"/>
    </xf>
    <xf numFmtId="0" fontId="5" fillId="29" borderId="19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0" fillId="29" borderId="18" xfId="0" applyFill="1" applyBorder="1" applyAlignment="1">
      <alignment horizontal="center" vertical="center" wrapText="1"/>
    </xf>
    <xf numFmtId="3" fontId="5" fillId="29" borderId="17" xfId="0" applyNumberFormat="1" applyFont="1" applyFill="1" applyBorder="1" applyAlignment="1">
      <alignment horizontal="center" vertical="center" wrapText="1"/>
    </xf>
    <xf numFmtId="3" fontId="5" fillId="29" borderId="18" xfId="0" applyNumberFormat="1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0" fillId="29" borderId="18" xfId="0" applyFill="1" applyBorder="1" applyAlignment="1">
      <alignment horizontal="center" vertical="center"/>
    </xf>
    <xf numFmtId="0" fontId="0" fillId="29" borderId="14" xfId="0" applyFill="1" applyBorder="1" applyAlignment="1">
      <alignment horizontal="center" vertical="center"/>
    </xf>
    <xf numFmtId="0" fontId="5" fillId="29" borderId="3" xfId="0" applyFont="1" applyFill="1" applyBorder="1" applyAlignment="1">
      <alignment horizontal="center" vertical="center"/>
    </xf>
    <xf numFmtId="0" fontId="0" fillId="29" borderId="26" xfId="0" applyFill="1" applyBorder="1" applyAlignment="1">
      <alignment horizontal="center" vertical="center" wrapText="1"/>
    </xf>
    <xf numFmtId="0" fontId="0" fillId="29" borderId="19" xfId="0" applyFill="1" applyBorder="1" applyAlignment="1">
      <alignment horizontal="center" vertical="center" wrapText="1"/>
    </xf>
    <xf numFmtId="0" fontId="9" fillId="29" borderId="17" xfId="0" applyFont="1" applyFill="1" applyBorder="1" applyAlignment="1">
      <alignment horizontal="left" vertical="center" wrapText="1" shrinkToFit="1"/>
    </xf>
    <xf numFmtId="0" fontId="9" fillId="29" borderId="18" xfId="0" applyFont="1" applyFill="1" applyBorder="1" applyAlignment="1">
      <alignment horizontal="left" vertical="center" wrapText="1" shrinkToFit="1"/>
    </xf>
    <xf numFmtId="0" fontId="0" fillId="29" borderId="14" xfId="0" applyFill="1" applyBorder="1" applyAlignment="1">
      <alignment horizontal="left" vertical="center" wrapText="1" shrinkToFit="1"/>
    </xf>
    <xf numFmtId="49" fontId="5" fillId="29" borderId="17" xfId="0" applyNumberFormat="1" applyFont="1" applyFill="1" applyBorder="1" applyAlignment="1">
      <alignment horizontal="left" vertical="center" wrapText="1"/>
    </xf>
    <xf numFmtId="49" fontId="5" fillId="29" borderId="18" xfId="0" applyNumberFormat="1" applyFont="1" applyFill="1" applyBorder="1" applyAlignment="1">
      <alignment horizontal="left" vertical="center" wrapText="1"/>
    </xf>
    <xf numFmtId="49" fontId="5" fillId="29" borderId="17" xfId="0" applyNumberFormat="1" applyFont="1" applyFill="1" applyBorder="1" applyAlignment="1">
      <alignment horizontal="center" vertical="center" wrapText="1"/>
    </xf>
    <xf numFmtId="49" fontId="5" fillId="29" borderId="18" xfId="0" applyNumberFormat="1" applyFont="1" applyFill="1" applyBorder="1" applyAlignment="1">
      <alignment horizontal="center" vertical="center" wrapText="1"/>
    </xf>
    <xf numFmtId="0" fontId="5" fillId="29" borderId="17" xfId="0" applyFont="1" applyFill="1" applyBorder="1" applyAlignment="1">
      <alignment horizontal="left" vertical="center" wrapText="1" shrinkToFit="1"/>
    </xf>
    <xf numFmtId="0" fontId="5" fillId="29" borderId="18" xfId="0" applyFont="1" applyFill="1" applyBorder="1" applyAlignment="1">
      <alignment horizontal="left" vertical="center" wrapText="1" shrinkToFit="1"/>
    </xf>
    <xf numFmtId="0" fontId="0" fillId="29" borderId="23" xfId="0" applyFill="1" applyBorder="1" applyAlignment="1">
      <alignment horizontal="center" vertical="center" wrapText="1"/>
    </xf>
    <xf numFmtId="0" fontId="0" fillId="29" borderId="0" xfId="0" applyFill="1" applyBorder="1" applyAlignment="1">
      <alignment horizontal="center" vertical="center" wrapText="1"/>
    </xf>
    <xf numFmtId="0" fontId="0" fillId="29" borderId="25" xfId="0" applyFill="1" applyBorder="1" applyAlignment="1">
      <alignment horizontal="center" vertical="center" wrapText="1"/>
    </xf>
    <xf numFmtId="0" fontId="0" fillId="29" borderId="13" xfId="0" applyFill="1" applyBorder="1" applyAlignment="1">
      <alignment horizontal="center" vertical="center" wrapText="1"/>
    </xf>
    <xf numFmtId="0" fontId="5" fillId="29" borderId="16" xfId="0" applyFont="1" applyFill="1" applyBorder="1" applyAlignment="1">
      <alignment horizontal="center" vertical="center" wrapText="1" shrinkToFit="1"/>
    </xf>
    <xf numFmtId="0" fontId="5" fillId="29" borderId="19" xfId="0" applyFont="1" applyFill="1" applyBorder="1" applyAlignment="1">
      <alignment horizontal="center" vertical="center" wrapText="1" shrinkToFit="1"/>
    </xf>
    <xf numFmtId="0" fontId="5" fillId="29" borderId="26" xfId="0" applyFont="1" applyFill="1" applyBorder="1" applyAlignment="1">
      <alignment horizontal="center" vertical="center" wrapText="1" shrinkToFit="1"/>
    </xf>
    <xf numFmtId="0" fontId="5" fillId="29" borderId="17" xfId="0" applyFont="1" applyFill="1" applyBorder="1" applyAlignment="1">
      <alignment horizontal="center" vertical="center" wrapText="1" shrinkToFit="1"/>
    </xf>
    <xf numFmtId="0" fontId="5" fillId="29" borderId="18" xfId="0" applyFont="1" applyFill="1" applyBorder="1" applyAlignment="1">
      <alignment horizontal="center" vertical="center" wrapText="1" shrinkToFit="1"/>
    </xf>
    <xf numFmtId="0" fontId="5" fillId="29" borderId="21" xfId="0" applyFont="1" applyFill="1" applyBorder="1" applyAlignment="1">
      <alignment horizontal="center" vertical="center" wrapText="1" shrinkToFit="1"/>
    </xf>
    <xf numFmtId="0" fontId="5" fillId="29" borderId="20" xfId="0" applyFont="1" applyFill="1" applyBorder="1" applyAlignment="1">
      <alignment horizontal="center" vertical="center" wrapText="1" shrinkToFit="1"/>
    </xf>
    <xf numFmtId="0" fontId="0" fillId="29" borderId="22" xfId="0" applyFill="1" applyBorder="1" applyAlignment="1">
      <alignment horizontal="center" vertical="center" wrapText="1" shrinkToFit="1"/>
    </xf>
    <xf numFmtId="0" fontId="5" fillId="29" borderId="23" xfId="0" applyFont="1" applyFill="1" applyBorder="1" applyAlignment="1">
      <alignment horizontal="center" vertical="center" wrapText="1" shrinkToFit="1"/>
    </xf>
    <xf numFmtId="0" fontId="5" fillId="29" borderId="0" xfId="0" applyFont="1" applyFill="1" applyBorder="1" applyAlignment="1">
      <alignment horizontal="center" vertical="center" wrapText="1" shrinkToFit="1"/>
    </xf>
    <xf numFmtId="0" fontId="0" fillId="29" borderId="24" xfId="0" applyFill="1" applyBorder="1" applyAlignment="1">
      <alignment horizontal="center" vertical="center" wrapText="1" shrinkToFit="1"/>
    </xf>
    <xf numFmtId="0" fontId="5" fillId="29" borderId="25" xfId="0" applyFont="1" applyFill="1" applyBorder="1" applyAlignment="1">
      <alignment horizontal="center" vertical="center" wrapText="1" shrinkToFit="1"/>
    </xf>
    <xf numFmtId="0" fontId="5" fillId="29" borderId="13" xfId="0" applyFont="1" applyFill="1" applyBorder="1" applyAlignment="1">
      <alignment horizontal="center" vertical="center" wrapText="1" shrinkToFit="1"/>
    </xf>
    <xf numFmtId="0" fontId="0" fillId="29" borderId="15" xfId="0" applyFill="1" applyBorder="1" applyAlignment="1">
      <alignment horizontal="center" vertical="center" wrapText="1" shrinkToFit="1"/>
    </xf>
    <xf numFmtId="0" fontId="9" fillId="29" borderId="13" xfId="0" applyFont="1" applyFill="1" applyBorder="1" applyAlignment="1">
      <alignment horizontal="right" vertical="center"/>
    </xf>
    <xf numFmtId="0" fontId="0" fillId="29" borderId="20" xfId="0" applyFill="1" applyBorder="1" applyAlignment="1">
      <alignment horizontal="center" vertical="center" wrapText="1"/>
    </xf>
    <xf numFmtId="171" fontId="5" fillId="0" borderId="3" xfId="0" applyNumberFormat="1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29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1" fontId="86" fillId="29" borderId="0" xfId="0" applyNumberFormat="1" applyFont="1" applyFill="1" applyBorder="1" applyAlignment="1">
      <alignment horizontal="left" vertical="center" wrapText="1"/>
    </xf>
    <xf numFmtId="171" fontId="82" fillId="0" borderId="3" xfId="0" applyNumberFormat="1" applyFont="1" applyFill="1" applyBorder="1" applyAlignment="1">
      <alignment horizontal="right" vertical="center" wrapText="1"/>
    </xf>
    <xf numFmtId="0" fontId="5" fillId="29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9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Alignment="1">
      <alignment horizontal="center" vertical="center"/>
    </xf>
    <xf numFmtId="0" fontId="5" fillId="29" borderId="20" xfId="0" applyFont="1" applyFill="1" applyBorder="1" applyAlignment="1">
      <alignment vertical="center"/>
    </xf>
    <xf numFmtId="0" fontId="0" fillId="29" borderId="20" xfId="0" applyFill="1" applyBorder="1" applyAlignment="1">
      <alignment vertical="center"/>
    </xf>
    <xf numFmtId="0" fontId="0" fillId="29" borderId="0" xfId="0" applyFill="1" applyAlignment="1">
      <alignment horizontal="center" vertical="center" wrapText="1"/>
    </xf>
    <xf numFmtId="0" fontId="86" fillId="29" borderId="0" xfId="0" applyFont="1" applyFill="1" applyBorder="1" applyAlignment="1">
      <alignment vertical="center"/>
    </xf>
    <xf numFmtId="3" fontId="5" fillId="29" borderId="3" xfId="0" applyNumberFormat="1" applyFont="1" applyFill="1" applyBorder="1" applyAlignment="1">
      <alignment horizontal="center" vertical="center" wrapText="1"/>
    </xf>
    <xf numFmtId="0" fontId="0" fillId="29" borderId="3" xfId="0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1" fontId="5" fillId="29" borderId="0" xfId="0" applyNumberFormat="1" applyFont="1" applyFill="1" applyBorder="1" applyAlignment="1">
      <alignment horizontal="center" vertical="center" wrapText="1"/>
    </xf>
    <xf numFmtId="171" fontId="5" fillId="29" borderId="0" xfId="0" quotePrefix="1" applyNumberFormat="1" applyFont="1" applyFill="1" applyBorder="1" applyAlignment="1">
      <alignment horizontal="center" vertical="center" wrapText="1"/>
    </xf>
    <xf numFmtId="0" fontId="70" fillId="29" borderId="0" xfId="0" applyFont="1" applyFill="1" applyBorder="1" applyAlignment="1">
      <alignment horizontal="center"/>
    </xf>
  </cellXfs>
  <cellStyles count="356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" xfId="211" builtinId="4"/>
    <cellStyle name="Денежный 2" xfId="212"/>
    <cellStyle name="Денежный 3" xfId="213"/>
    <cellStyle name="Заголовок 1 2" xfId="214"/>
    <cellStyle name="Заголовок 1 3" xfId="215"/>
    <cellStyle name="Заголовок 2 2" xfId="216"/>
    <cellStyle name="Заголовок 2 3" xfId="217"/>
    <cellStyle name="Заголовок 3 2" xfId="218"/>
    <cellStyle name="Заголовок 3 3" xfId="219"/>
    <cellStyle name="Заголовок 4 2" xfId="220"/>
    <cellStyle name="Заголовок 4 3" xfId="221"/>
    <cellStyle name="Итог 2" xfId="222"/>
    <cellStyle name="Итог 3" xfId="223"/>
    <cellStyle name="Контрольная ячейка 2" xfId="224"/>
    <cellStyle name="Контрольная ячейка 3" xfId="225"/>
    <cellStyle name="Название 2" xfId="226"/>
    <cellStyle name="Название 3" xfId="227"/>
    <cellStyle name="Нейтральный 2" xfId="228"/>
    <cellStyle name="Нейтральный 3" xfId="229"/>
    <cellStyle name="Обычный" xfId="0" builtinId="0"/>
    <cellStyle name="Обычный 10" xfId="230"/>
    <cellStyle name="Обычный 11" xfId="231"/>
    <cellStyle name="Обычный 12" xfId="232"/>
    <cellStyle name="Обычный 13" xfId="233"/>
    <cellStyle name="Обычный 14" xfId="234"/>
    <cellStyle name="Обычный 15" xfId="235"/>
    <cellStyle name="Обычный 16" xfId="236"/>
    <cellStyle name="Обычный 17" xfId="237"/>
    <cellStyle name="Обычный 18" xfId="238"/>
    <cellStyle name="Обычный 19" xfId="239"/>
    <cellStyle name="Обычный 2" xfId="240"/>
    <cellStyle name="Обычный 2 10" xfId="241"/>
    <cellStyle name="Обычный 2 11" xfId="242"/>
    <cellStyle name="Обычный 2 12" xfId="243"/>
    <cellStyle name="Обычный 2 13" xfId="244"/>
    <cellStyle name="Обычный 2 14" xfId="245"/>
    <cellStyle name="Обычный 2 15" xfId="246"/>
    <cellStyle name="Обычный 2 16" xfId="247"/>
    <cellStyle name="Обычный 2 2" xfId="248"/>
    <cellStyle name="Обычный 2 2 2" xfId="249"/>
    <cellStyle name="Обычный 2 2 3" xfId="250"/>
    <cellStyle name="Обычный 2 2_Расшифровка прочих" xfId="251"/>
    <cellStyle name="Обычный 2 3" xfId="252"/>
    <cellStyle name="Обычный 2 4" xfId="253"/>
    <cellStyle name="Обычный 2 5" xfId="254"/>
    <cellStyle name="Обычный 2 6" xfId="255"/>
    <cellStyle name="Обычный 2 7" xfId="256"/>
    <cellStyle name="Обычный 2 8" xfId="257"/>
    <cellStyle name="Обычный 2 9" xfId="258"/>
    <cellStyle name="Обычный 2_2604-2010" xfId="259"/>
    <cellStyle name="Обычный 3" xfId="260"/>
    <cellStyle name="Обычный 3 10" xfId="261"/>
    <cellStyle name="Обычный 3 11" xfId="262"/>
    <cellStyle name="Обычный 3 12" xfId="263"/>
    <cellStyle name="Обычный 3 13" xfId="264"/>
    <cellStyle name="Обычный 3 14" xfId="265"/>
    <cellStyle name="Обычный 3 2" xfId="266"/>
    <cellStyle name="Обычный 3 3" xfId="267"/>
    <cellStyle name="Обычный 3 4" xfId="268"/>
    <cellStyle name="Обычный 3 5" xfId="269"/>
    <cellStyle name="Обычный 3 6" xfId="270"/>
    <cellStyle name="Обычный 3 7" xfId="271"/>
    <cellStyle name="Обычный 3 8" xfId="272"/>
    <cellStyle name="Обычный 3 9" xfId="273"/>
    <cellStyle name="Обычный 3_Дефицит_7 млрд_0608_бс" xfId="274"/>
    <cellStyle name="Обычный 4" xfId="275"/>
    <cellStyle name="Обычный 5" xfId="276"/>
    <cellStyle name="Обычный 5 2" xfId="277"/>
    <cellStyle name="Обычный 6" xfId="278"/>
    <cellStyle name="Обычный 6 2" xfId="279"/>
    <cellStyle name="Обычный 6 3" xfId="280"/>
    <cellStyle name="Обычный 6 4" xfId="281"/>
    <cellStyle name="Обычный 6_Дефицит_7 млрд_0608_бс" xfId="282"/>
    <cellStyle name="Обычный 7" xfId="283"/>
    <cellStyle name="Обычный 7 2" xfId="284"/>
    <cellStyle name="Обычный 8" xfId="285"/>
    <cellStyle name="Обычный 9" xfId="286"/>
    <cellStyle name="Обычный 9 2" xfId="287"/>
    <cellStyle name="Плохой 2" xfId="288"/>
    <cellStyle name="Плохой 3" xfId="289"/>
    <cellStyle name="Пояснение 2" xfId="290"/>
    <cellStyle name="Пояснение 3" xfId="291"/>
    <cellStyle name="Примечание 2" xfId="292"/>
    <cellStyle name="Примечание 3" xfId="293"/>
    <cellStyle name="Процентный 2" xfId="294"/>
    <cellStyle name="Процентный 2 10" xfId="295"/>
    <cellStyle name="Процентный 2 11" xfId="296"/>
    <cellStyle name="Процентный 2 12" xfId="297"/>
    <cellStyle name="Процентный 2 13" xfId="298"/>
    <cellStyle name="Процентный 2 14" xfId="299"/>
    <cellStyle name="Процентный 2 15" xfId="300"/>
    <cellStyle name="Процентный 2 16" xfId="301"/>
    <cellStyle name="Процентный 2 2" xfId="302"/>
    <cellStyle name="Процентный 2 3" xfId="303"/>
    <cellStyle name="Процентный 2 4" xfId="304"/>
    <cellStyle name="Процентный 2 5" xfId="305"/>
    <cellStyle name="Процентный 2 6" xfId="306"/>
    <cellStyle name="Процентный 2 7" xfId="307"/>
    <cellStyle name="Процентный 2 8" xfId="308"/>
    <cellStyle name="Процентный 2 9" xfId="309"/>
    <cellStyle name="Процентный 3" xfId="310"/>
    <cellStyle name="Процентный 4" xfId="311"/>
    <cellStyle name="Процентный 4 2" xfId="312"/>
    <cellStyle name="Связанная ячейка 2" xfId="313"/>
    <cellStyle name="Связанная ячейка 3" xfId="314"/>
    <cellStyle name="Стиль 1" xfId="315"/>
    <cellStyle name="Стиль 1 2" xfId="316"/>
    <cellStyle name="Стиль 1 3" xfId="317"/>
    <cellStyle name="Стиль 1 4" xfId="318"/>
    <cellStyle name="Стиль 1 5" xfId="319"/>
    <cellStyle name="Стиль 1 6" xfId="320"/>
    <cellStyle name="Стиль 1 7" xfId="321"/>
    <cellStyle name="Текст предупреждения 2" xfId="322"/>
    <cellStyle name="Текст предупреждения 3" xfId="323"/>
    <cellStyle name="Тысячи [0]_1.62" xfId="324"/>
    <cellStyle name="Тысячи_1.62" xfId="325"/>
    <cellStyle name="Финансовый 2" xfId="326"/>
    <cellStyle name="Финансовый 2 10" xfId="327"/>
    <cellStyle name="Финансовый 2 11" xfId="328"/>
    <cellStyle name="Финансовый 2 12" xfId="329"/>
    <cellStyle name="Финансовый 2 13" xfId="330"/>
    <cellStyle name="Финансовый 2 14" xfId="331"/>
    <cellStyle name="Финансовый 2 15" xfId="332"/>
    <cellStyle name="Финансовый 2 16" xfId="333"/>
    <cellStyle name="Финансовый 2 17" xfId="334"/>
    <cellStyle name="Финансовый 2 2" xfId="335"/>
    <cellStyle name="Финансовый 2 3" xfId="336"/>
    <cellStyle name="Финансовый 2 4" xfId="337"/>
    <cellStyle name="Финансовый 2 5" xfId="338"/>
    <cellStyle name="Финансовый 2 6" xfId="339"/>
    <cellStyle name="Финансовый 2 7" xfId="340"/>
    <cellStyle name="Финансовый 2 8" xfId="341"/>
    <cellStyle name="Финансовый 2 9" xfId="342"/>
    <cellStyle name="Финансовый 3" xfId="343"/>
    <cellStyle name="Финансовый 3 2" xfId="344"/>
    <cellStyle name="Финансовый 4" xfId="345"/>
    <cellStyle name="Финансовый 4 2" xfId="346"/>
    <cellStyle name="Финансовый 4 3" xfId="347"/>
    <cellStyle name="Финансовый 5" xfId="348"/>
    <cellStyle name="Финансовый 6" xfId="349"/>
    <cellStyle name="Финансовый 7" xfId="350"/>
    <cellStyle name="Хороший 2" xfId="351"/>
    <cellStyle name="Хороший 3" xfId="352"/>
    <cellStyle name="числовой" xfId="353"/>
    <cellStyle name="Ю" xfId="354"/>
    <cellStyle name="Ю-FreeSet_10" xfId="3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DP-PC9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lubchenko.anna/Downloads/Finansovyy%20plan%20KP%20Misksvitlo%20na%202020%20rik%20zi%20zminamy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3;&#1086;&#1074;&#1072;&#1103;%20&#1087;&#1072;&#1087;&#1082;&#1072;/2015/&#1060;&#1110;&#1085;&#1072;&#1085;&#1089;&#1086;&#1074;&#1080;&#1081;%20&#1087;&#1083;&#1072;&#1085;%202015/&#1092;&#1072;&#1082;&#1090;%20&#1060;&#1055;%202015/&#1042;&#1080;&#1082;&#1086;&#1085;&#1072;&#1085;&#1085;&#1103;%20&#1060;&#1055;%20&#1079;&#1072;%202015%20&#1088;&#1110;&#1082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3;&#1086;&#1074;&#1072;&#1103;%20&#1087;&#1072;&#1087;&#1082;&#1072;/2016/&#1060;&#1110;&#1085;&#1072;&#1085;&#1089;&#1086;&#1074;&#1080;&#1081;%20&#1087;&#1083;&#1072;&#1085;%202016/&#1079;&#1074;&#1110;&#1090;%20&#1087;&#1088;&#1086;%20&#1074;&#1080;&#1082;&#1086;&#1085;&#1072;&#1085;&#1085;&#1103;%20&#1092;&#1110;&#1085;&#1072;&#1085;&#1089;&#1086;&#1074;&#1086;&#1075;&#1086;%20&#1087;&#1083;&#1072;&#1085;&#1091;%202016%20&#1088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3;&#1086;&#1074;&#1072;&#1103;%20&#1087;&#1072;&#1087;&#1082;&#1072;/2017/&#1060;&#1110;&#1085;&#1072;&#1085;&#1089;&#1086;&#1074;&#1080;&#1081;%20&#1087;&#1083;&#1072;&#1085;%202017/&#1079;&#1074;&#1110;&#1090;%20&#1087;&#1088;&#1086;%20&#1074;&#1080;&#1082;&#1086;&#1085;&#1072;&#1085;&#1085;&#1103;%20&#1092;&#1110;&#1085;&#1072;&#1085;&#1089;&#1086;&#1074;&#1086;&#1075;&#1086;%20&#1087;&#1083;&#1072;&#1085;&#1091;%202017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3;&#1086;&#1074;&#1072;&#1103;%20&#1087;&#1072;&#1087;&#1082;&#1072;/2018/&#1060;&#1055;%20&#1082;&#1074;&#1110;&#1090;&#1077;&#1085;&#1100;%20&#1079;&#1072;&#1090;&#1074;&#1077;&#1088;&#1076;&#1078;&#1077;&#1085;&#1080;&#1081;/&#1079;&#1074;&#1110;&#1090;%20&#1087;&#1088;&#1086;%20&#1074;&#1080;&#1082;&#1086;&#1085;&#1072;&#1085;&#1085;&#1103;%20&#1092;&#1110;&#1085;&#1072;&#1085;&#1089;&#1086;&#1074;&#1086;&#1075;&#1086;%20&#1087;&#1083;&#1072;&#1085;&#1091;%202018%20&#1088;&#1110;&#1082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3;&#1086;&#1074;&#1072;&#1103;%20&#1087;&#1072;&#1087;&#1082;&#1072;/2019/&#1060;&#1110;&#1085;&#1072;&#1085;&#1089;&#1086;&#1074;&#1080;&#1081;%20&#1087;&#1083;&#1072;&#1085;/&#1060;&#1055;%20&#1050;&#1055;%20&#1052;&#1110;&#1089;&#1100;&#1082;&#1089;&#1074;&#1110;&#1090;&#1083;&#1086;%20%20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3;&#1086;&#1074;&#1072;&#1103;%20&#1087;&#1072;&#1087;&#1082;&#1072;/2017/&#1060;&#1110;&#1085;&#1072;&#1085;&#1089;&#1086;&#1074;&#1080;&#1081;%20&#1087;&#1083;&#1072;&#1085;%202017/&#1079;&#1074;&#1110;&#1090;%20&#1087;&#1088;&#1086;%20&#1074;&#1080;&#1082;&#1086;&#1085;&#1072;&#1085;&#1085;&#1103;%20&#1092;&#1110;&#1085;&#1072;&#1085;&#1089;&#1086;&#1074;&#1086;&#1075;&#1086;%20&#1087;&#1083;&#1072;&#1085;&#1091;%202017%209%20&#1084;&#1110;&#1089;&#1103;&#1094;&#1110;&#1074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3;&#1086;&#1074;&#1072;&#1103;%20&#1087;&#1072;&#1087;&#1082;&#1072;/2017/&#1060;&#1110;&#1085;&#1072;&#1085;&#1089;&#1086;&#1074;&#1080;&#1081;%20&#1087;&#1083;&#1072;&#1085;%202017/&#1053;&#1072;%20&#1079;&#1072;&#1090;&#1074;&#1077;&#1088;&#1076;&#1078;&#1077;&#1085;&#1085;&#1103;%20&#1085;&#1072;%202017%20&#1088;&#1110;&#1082;%20-&#1087;&#1072;&#1088;&#1072;&#1084;&#1077;&#1090;&#1088;&#1080;&#1079;&#1072;&#1094;&#1110;&#1103;/&#1050;&#1055;%20&#1052;&#1110;&#1089;&#1100;&#1082;&#1089;&#1074;&#1110;&#1090;&#1083;&#1086;%20&#1060;&#1055;%20%202017%20%20&#1077;&#1083;&#1077;&#1082;&#1090;&#1088;&#1086;&#1077;&#1085;&#1077;&#1088;&#1075;&#1110;&#1103;%203%20&#1082;&#1074;&#1072;&#1088;&#1090;&#1072;&#1083;%20&#1079;%20&#1087;&#1086;&#1084;&#1080;&#1083;&#1082;%201%20&#1083;&#1080;&#1089;&#109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3;&#1086;&#1074;&#1072;&#1103;%20&#1087;&#1072;&#1087;&#1082;&#1072;/2018/&#1060;&#1055;%2013.11.17%20&#1079;&#1072;&#1090;&#1074;&#1077;&#1088;&#1076;&#1078;&#1077;&#1085;&#1080;&#1081;/&#1060;&#1055;%20&#1050;&#1055;%20&#1052;&#1110;&#1089;&#1100;&#1082;&#1089;&#1074;&#1110;&#1090;&#1083;&#1086;%20%20201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3;&#1086;&#1074;&#1072;&#1103;%20&#1087;&#1072;&#1087;&#1082;&#1072;/2015/&#1060;&#1110;&#1085;&#1072;&#1085;&#1089;&#1086;&#1074;&#1080;&#1081;%20&#1087;&#1083;&#1072;&#1085;%202015/&#1092;&#1072;&#1082;&#1090;%20&#1060;&#1055;%202015/&#1092;&#1072;&#1082;&#1090;%20&#1092;&#1110;&#1085;&#1072;&#1085;&#1089;&#1086;&#1074;&#1080;&#1081;%20&#1087;&#1083;&#1072;&#1085;%202015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1041;&#1102;&#1076;&#1078;&#1077;&#1090;%202017%20&#1088;&#1086;&#1079;&#1088;&#1072;&#1093;&#1091;&#1085;&#1082;&#108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3;&#1086;&#1074;&#1072;&#1103;%20&#1087;&#1072;&#1087;&#1082;&#1072;/2018/&#1060;&#1055;%20&#1082;&#1074;&#1110;&#1090;&#1077;&#1085;&#1100;%20&#1079;&#1072;&#1090;&#1074;&#1077;&#1088;&#1076;&#1078;&#1077;&#1085;&#1080;&#1081;/&#1079;&#1074;&#1110;&#1090;%20&#1087;&#1088;&#1086;%20&#1074;&#1080;&#1082;&#1086;&#1085;&#1072;&#1085;&#1085;&#1103;%20&#1092;&#1110;&#1085;&#1072;&#1085;&#1089;&#1086;&#1074;&#1086;&#1075;&#1086;%20&#1087;&#1083;&#1072;&#1085;&#1091;%202018%201%20&#1087;&#1110;&#1074;&#1088;&#1110;&#1095;&#1095;&#1103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3;&#1086;&#1074;&#1072;&#1103;%20&#1087;&#1072;&#1087;&#1082;&#1072;/2018/&#1060;&#1055;%20&#1082;&#1074;&#1110;&#1090;&#1077;&#1085;&#1100;%20&#1079;&#1072;&#1090;&#1074;&#1077;&#1088;&#1076;&#1078;&#1077;&#1085;&#1080;&#1081;/&#1060;&#1055;%20&#1050;&#1055;%20&#1052;&#1110;&#1089;&#1100;&#1082;&#1089;&#1074;&#1110;&#1090;&#1083;&#1086;%20%202018%20&#1082;&#1074;&#1110;&#1090;&#1077;&#1085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4;&#1055;_&#1055;&#1050;9/Desktop/&#1056;&#1086;&#1073;&#1086;&#1090;&#1072;/2020/&#1060;&#1110;&#1085;.&#1087;&#1083;&#1072;&#1085;%20&#1085;&#1072;%202020/&#1059;&#1090;&#1086;&#1095;&#1085;&#1077;&#1085;&#1080;&#1081;%20&#1092;&#1110;&#1085;%20&#1087;&#1083;&#1072;&#1085;/&#1059;&#1090;&#1086;&#1095;&#1085;&#1077;&#1085;&#1080;&#1081;%20&#1092;&#1110;&#1085;%20&#1087;&#1083;&#1072;&#1085;%20&#1085;&#1072;%20&#1087;&#1110;&#1076;&#1087;&#1080;&#10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план - зведені показники"/>
      <sheetName val="1.Фінансовий результат"/>
      <sheetName val="2. Розрахунки з бюджетом"/>
      <sheetName val="4. Кап. інвестиції"/>
      <sheetName val="5. Інша інформація"/>
      <sheetName val="зміни"/>
      <sheetName val="3. Рух грошових коштів"/>
      <sheetName val="Лист1"/>
    </sheetNames>
    <sheetDataSet>
      <sheetData sheetId="0">
        <row r="15">
          <cell r="E15" t="str">
            <v xml:space="preserve">Факт 2017 року </v>
          </cell>
          <cell r="F15" t="str">
            <v xml:space="preserve">Факт 2018 року </v>
          </cell>
          <cell r="G15" t="str">
            <v>Фінансовий план 2019 року</v>
          </cell>
          <cell r="H15" t="str">
            <v>Факт 2019 року</v>
          </cell>
          <cell r="I15" t="str">
            <v>Фінансовий план 2020 року</v>
          </cell>
          <cell r="J15" t="str">
            <v>Плановий 2020 рік  (зі змінами)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 2015"/>
      <sheetName val="Рух грошових коштів факт"/>
    </sheetNames>
    <sheetDataSet>
      <sheetData sheetId="0">
        <row r="12">
          <cell r="V12">
            <v>1384.4999999999995</v>
          </cell>
        </row>
        <row r="20">
          <cell r="V20">
            <v>407.8</v>
          </cell>
        </row>
        <row r="22">
          <cell r="V22">
            <v>46</v>
          </cell>
        </row>
        <row r="23">
          <cell r="V23">
            <v>699.3</v>
          </cell>
        </row>
        <row r="42">
          <cell r="V42">
            <v>4.3000000000000007</v>
          </cell>
        </row>
        <row r="46">
          <cell r="V46">
            <v>0.5</v>
          </cell>
        </row>
        <row r="55">
          <cell r="V55">
            <v>4.5000000000000009</v>
          </cell>
        </row>
        <row r="56">
          <cell r="V56">
            <v>575</v>
          </cell>
        </row>
        <row r="57">
          <cell r="V57">
            <v>160.9</v>
          </cell>
        </row>
        <row r="58">
          <cell r="V58">
            <v>8.9000000000000021</v>
          </cell>
        </row>
        <row r="59">
          <cell r="V59">
            <v>0</v>
          </cell>
        </row>
        <row r="60">
          <cell r="V60">
            <v>0.4</v>
          </cell>
        </row>
        <row r="61">
          <cell r="V61">
            <v>0</v>
          </cell>
        </row>
        <row r="62">
          <cell r="V62">
            <v>5.0000000000000009</v>
          </cell>
        </row>
        <row r="65">
          <cell r="V65">
            <v>1.6</v>
          </cell>
        </row>
        <row r="66">
          <cell r="V66">
            <v>0</v>
          </cell>
        </row>
        <row r="67">
          <cell r="V67">
            <v>0</v>
          </cell>
        </row>
        <row r="68">
          <cell r="V68">
            <v>0</v>
          </cell>
        </row>
        <row r="69">
          <cell r="V69">
            <v>0</v>
          </cell>
        </row>
        <row r="71">
          <cell r="V71">
            <v>0</v>
          </cell>
        </row>
        <row r="72">
          <cell r="V72">
            <v>9.6999999999999993</v>
          </cell>
        </row>
        <row r="73">
          <cell r="V73">
            <v>8.3000000000000007</v>
          </cell>
        </row>
        <row r="74">
          <cell r="V74">
            <v>1</v>
          </cell>
        </row>
        <row r="75">
          <cell r="V75">
            <v>0.5</v>
          </cell>
        </row>
        <row r="80">
          <cell r="V80">
            <v>5.9</v>
          </cell>
        </row>
      </sheetData>
      <sheetData sheetId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Звіт по фінплану - зведені"/>
      <sheetName val="1.Фінансовий результат"/>
      <sheetName val="2. Розрахунки з бюджетом"/>
      <sheetName val="4. Кап. інвестиції"/>
      <sheetName val="5. Інша інформація"/>
      <sheetName val=" 6. Коефіцієнти"/>
      <sheetName val="3. Рух грошових коштів"/>
    </sheetNames>
    <sheetDataSet>
      <sheetData sheetId="0"/>
      <sheetData sheetId="1">
        <row r="11">
          <cell r="D11">
            <v>1568.6</v>
          </cell>
        </row>
        <row r="38">
          <cell r="D38">
            <v>1296.5999999999999</v>
          </cell>
        </row>
        <row r="39">
          <cell r="D39">
            <v>314.5</v>
          </cell>
        </row>
        <row r="40">
          <cell r="D40">
            <v>0.8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3.4999999999999996</v>
          </cell>
        </row>
        <row r="49">
          <cell r="D49">
            <v>730.4</v>
          </cell>
        </row>
        <row r="50">
          <cell r="D50">
            <v>129.30000000000001</v>
          </cell>
        </row>
        <row r="51">
          <cell r="D51">
            <v>10.900000000000002</v>
          </cell>
        </row>
        <row r="52">
          <cell r="D52">
            <v>0</v>
          </cell>
        </row>
        <row r="53">
          <cell r="D53">
            <v>4.2</v>
          </cell>
        </row>
        <row r="54">
          <cell r="D54">
            <v>0</v>
          </cell>
        </row>
        <row r="55">
          <cell r="D55">
            <v>8.6</v>
          </cell>
        </row>
        <row r="56">
          <cell r="D56">
            <v>14.5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4">
          <cell r="D64">
            <v>0.1</v>
          </cell>
        </row>
        <row r="65">
          <cell r="D65">
            <v>14.299999999999999</v>
          </cell>
        </row>
        <row r="66">
          <cell r="D66">
            <v>9.4</v>
          </cell>
        </row>
        <row r="67">
          <cell r="D67">
            <v>0.1</v>
          </cell>
        </row>
        <row r="68">
          <cell r="D68">
            <v>40.799999999999997</v>
          </cell>
        </row>
        <row r="69">
          <cell r="D69">
            <v>0</v>
          </cell>
        </row>
        <row r="70">
          <cell r="D70">
            <v>6.5000000000000009</v>
          </cell>
        </row>
        <row r="71">
          <cell r="D71">
            <v>1.1000000000000001</v>
          </cell>
        </row>
        <row r="72">
          <cell r="D72">
            <v>1.2000000000000002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8">
          <cell r="D88">
            <v>340.40000000000003</v>
          </cell>
        </row>
        <row r="89">
          <cell r="D89">
            <v>0</v>
          </cell>
        </row>
        <row r="91">
          <cell r="D91">
            <v>584.90000000000009</v>
          </cell>
        </row>
        <row r="92">
          <cell r="D92">
            <v>28.1</v>
          </cell>
        </row>
        <row r="94">
          <cell r="D94">
            <v>6.1</v>
          </cell>
        </row>
        <row r="95">
          <cell r="D95">
            <v>125.19999999999999</v>
          </cell>
        </row>
        <row r="97">
          <cell r="D97">
            <v>4.4000000000000004</v>
          </cell>
        </row>
        <row r="98">
          <cell r="D98">
            <v>0</v>
          </cell>
        </row>
      </sheetData>
      <sheetData sheetId="2">
        <row r="10">
          <cell r="D10">
            <v>-1400.4</v>
          </cell>
        </row>
      </sheetData>
      <sheetData sheetId="3">
        <row r="9">
          <cell r="D9">
            <v>17754.599999999999</v>
          </cell>
        </row>
      </sheetData>
      <sheetData sheetId="4">
        <row r="14">
          <cell r="C14">
            <v>16</v>
          </cell>
        </row>
      </sheetData>
      <sheetData sheetId="5">
        <row r="10">
          <cell r="E10">
            <v>-0.35510009532888459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Звіт по фінплану - зведені"/>
      <sheetName val="1.Фінансовий результат"/>
      <sheetName val="2. Розрахунки з бюджетом"/>
      <sheetName val="4. Кап. інвестиції"/>
      <sheetName val="5. Інша інформація"/>
      <sheetName val=" 6. Коефіцієнти"/>
      <sheetName val="3. Рух грошових коштів"/>
    </sheetNames>
    <sheetDataSet>
      <sheetData sheetId="0"/>
      <sheetData sheetId="1">
        <row r="11">
          <cell r="D11">
            <v>960.5</v>
          </cell>
        </row>
        <row r="26">
          <cell r="D26">
            <v>123.8</v>
          </cell>
        </row>
        <row r="28">
          <cell r="D28">
            <v>1.4</v>
          </cell>
        </row>
        <row r="29">
          <cell r="D29">
            <v>1.5</v>
          </cell>
        </row>
        <row r="32">
          <cell r="D32">
            <v>0.4</v>
          </cell>
        </row>
        <row r="33">
          <cell r="D33">
            <v>1.9</v>
          </cell>
        </row>
        <row r="34">
          <cell r="D34">
            <v>2.6</v>
          </cell>
        </row>
        <row r="35">
          <cell r="D35">
            <v>8.5</v>
          </cell>
        </row>
        <row r="38">
          <cell r="D38">
            <v>2240.3000000000002</v>
          </cell>
        </row>
        <row r="39">
          <cell r="D39">
            <v>342.7</v>
          </cell>
        </row>
        <row r="40">
          <cell r="D40">
            <v>0.8</v>
          </cell>
        </row>
        <row r="48">
          <cell r="D48">
            <v>3.6</v>
          </cell>
        </row>
        <row r="49">
          <cell r="D49">
            <v>932</v>
          </cell>
        </row>
        <row r="50">
          <cell r="D50">
            <v>168.9</v>
          </cell>
        </row>
        <row r="51">
          <cell r="D51">
            <v>4.5999999999999996</v>
          </cell>
        </row>
        <row r="53">
          <cell r="D53">
            <v>5.4</v>
          </cell>
        </row>
        <row r="55">
          <cell r="D55">
            <v>6.1000000000000005</v>
          </cell>
        </row>
        <row r="56">
          <cell r="D56">
            <v>4.4000000000000004</v>
          </cell>
        </row>
        <row r="57">
          <cell r="D57">
            <v>1.2</v>
          </cell>
        </row>
        <row r="59">
          <cell r="D59">
            <v>3.2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5">
          <cell r="D65">
            <v>15.499999999999998</v>
          </cell>
        </row>
        <row r="66">
          <cell r="D66">
            <v>10.9</v>
          </cell>
        </row>
        <row r="67">
          <cell r="D67">
            <v>0.1</v>
          </cell>
        </row>
        <row r="68">
          <cell r="D68">
            <v>27.5</v>
          </cell>
        </row>
        <row r="70">
          <cell r="D70">
            <v>6.6</v>
          </cell>
        </row>
        <row r="71">
          <cell r="D71">
            <v>0.9</v>
          </cell>
        </row>
        <row r="72">
          <cell r="D72">
            <v>0.2</v>
          </cell>
        </row>
        <row r="82">
          <cell r="D82">
            <v>10.8</v>
          </cell>
        </row>
        <row r="90">
          <cell r="D90">
            <v>283</v>
          </cell>
        </row>
        <row r="94">
          <cell r="D94">
            <v>477.2</v>
          </cell>
        </row>
        <row r="95">
          <cell r="D95">
            <v>178.5</v>
          </cell>
        </row>
        <row r="99">
          <cell r="D99">
            <v>15.5</v>
          </cell>
        </row>
        <row r="100">
          <cell r="D100">
            <v>106.6</v>
          </cell>
        </row>
        <row r="102">
          <cell r="D102">
            <v>6</v>
          </cell>
        </row>
        <row r="103">
          <cell r="D103">
            <v>278.10000000000002</v>
          </cell>
        </row>
      </sheetData>
      <sheetData sheetId="2">
        <row r="10">
          <cell r="D10">
            <v>-2180.6999999999998</v>
          </cell>
        </row>
      </sheetData>
      <sheetData sheetId="3">
        <row r="10">
          <cell r="D10">
            <v>934.4</v>
          </cell>
        </row>
      </sheetData>
      <sheetData sheetId="4">
        <row r="22">
          <cell r="C22">
            <v>176.7</v>
          </cell>
        </row>
      </sheetData>
      <sheetData sheetId="5"/>
      <sheetData sheetId="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Звіт по фінплану - зведені"/>
      <sheetName val="1.Фінансовий результат"/>
      <sheetName val="2. Розрахунки з бюджетом"/>
      <sheetName val="4. Кап. інвестиції"/>
      <sheetName val="5. Інша інформація"/>
      <sheetName val=" 6. Коефіцієнти"/>
      <sheetName val="3. Рух грошових коштів"/>
    </sheetNames>
    <sheetDataSet>
      <sheetData sheetId="0"/>
      <sheetData sheetId="1">
        <row r="11">
          <cell r="D11">
            <v>1212.5</v>
          </cell>
        </row>
        <row r="32">
          <cell r="D32">
            <v>2666.3999999999996</v>
          </cell>
        </row>
        <row r="33">
          <cell r="D33">
            <v>276.5</v>
          </cell>
        </row>
        <row r="34">
          <cell r="D34">
            <v>3.7</v>
          </cell>
        </row>
        <row r="42">
          <cell r="D42">
            <v>2.4000000000000004</v>
          </cell>
        </row>
        <row r="43">
          <cell r="D43">
            <v>1595</v>
          </cell>
        </row>
        <row r="44">
          <cell r="D44">
            <v>286.39999999999998</v>
          </cell>
        </row>
        <row r="45">
          <cell r="D45">
            <v>8.4</v>
          </cell>
        </row>
        <row r="47">
          <cell r="D47">
            <v>6.4</v>
          </cell>
        </row>
        <row r="49">
          <cell r="D49">
            <v>12.1</v>
          </cell>
        </row>
        <row r="50">
          <cell r="D50">
            <v>10.1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0.1</v>
          </cell>
        </row>
        <row r="59">
          <cell r="D59">
            <v>15.2</v>
          </cell>
        </row>
        <row r="60">
          <cell r="D60">
            <v>12.7</v>
          </cell>
        </row>
        <row r="62">
          <cell r="D62">
            <v>17.8</v>
          </cell>
        </row>
        <row r="64">
          <cell r="D64">
            <v>2.7</v>
          </cell>
        </row>
        <row r="65">
          <cell r="D65">
            <v>2.2000000000000002</v>
          </cell>
        </row>
        <row r="66">
          <cell r="D66">
            <v>1.3</v>
          </cell>
        </row>
        <row r="67">
          <cell r="D67">
            <v>1.1000000000000001</v>
          </cell>
        </row>
        <row r="68">
          <cell r="D68">
            <v>1.7</v>
          </cell>
        </row>
        <row r="70">
          <cell r="D70">
            <v>23.7</v>
          </cell>
        </row>
        <row r="71">
          <cell r="D71">
            <v>4</v>
          </cell>
        </row>
        <row r="72">
          <cell r="D72">
            <v>10.899999999999999</v>
          </cell>
        </row>
        <row r="86">
          <cell r="D86">
            <v>2396.4999999999995</v>
          </cell>
        </row>
        <row r="87">
          <cell r="D87">
            <v>586.29999999999995</v>
          </cell>
        </row>
        <row r="92">
          <cell r="D92">
            <v>1026.0999999999999</v>
          </cell>
        </row>
        <row r="96">
          <cell r="D96">
            <v>730.3</v>
          </cell>
        </row>
        <row r="99">
          <cell r="D99">
            <v>4050</v>
          </cell>
        </row>
        <row r="102">
          <cell r="D102">
            <v>427.3</v>
          </cell>
        </row>
        <row r="106">
          <cell r="D106">
            <v>212</v>
          </cell>
        </row>
        <row r="108">
          <cell r="D108">
            <v>3.3</v>
          </cell>
        </row>
      </sheetData>
      <sheetData sheetId="2">
        <row r="22">
          <cell r="D22">
            <v>2646.9</v>
          </cell>
        </row>
      </sheetData>
      <sheetData sheetId="3">
        <row r="14">
          <cell r="D14">
            <v>25403.7</v>
          </cell>
        </row>
      </sheetData>
      <sheetData sheetId="4">
        <row r="14">
          <cell r="C14">
            <v>20</v>
          </cell>
        </row>
      </sheetData>
      <sheetData sheetId="5"/>
      <sheetData sheetId="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план - зведені показники"/>
      <sheetName val="1.Фінансовий результат"/>
      <sheetName val="2. Розрахунки з бюджетом"/>
      <sheetName val="4. Кап. інвестиції"/>
      <sheetName val="5. Інша інформація"/>
      <sheetName val="3. Рух грошових коштів"/>
      <sheetName val="Лист1"/>
    </sheetNames>
    <sheetDataSet>
      <sheetData sheetId="0"/>
      <sheetData sheetId="1">
        <row r="9">
          <cell r="A9" t="str">
            <v xml:space="preserve">Доходи </v>
          </cell>
        </row>
        <row r="32">
          <cell r="H32">
            <v>3213.5</v>
          </cell>
        </row>
        <row r="33">
          <cell r="H33">
            <v>234</v>
          </cell>
        </row>
        <row r="34">
          <cell r="H34">
            <v>0</v>
          </cell>
        </row>
        <row r="40">
          <cell r="H40">
            <v>35</v>
          </cell>
        </row>
        <row r="41">
          <cell r="H41">
            <v>0</v>
          </cell>
        </row>
        <row r="42">
          <cell r="H42">
            <v>4.4000000000000004</v>
          </cell>
        </row>
        <row r="43">
          <cell r="H43">
            <v>1891.1000000000001</v>
          </cell>
        </row>
        <row r="44">
          <cell r="H44">
            <v>416</v>
          </cell>
        </row>
        <row r="45">
          <cell r="H45">
            <v>7.2</v>
          </cell>
        </row>
        <row r="46">
          <cell r="H46">
            <v>0</v>
          </cell>
        </row>
        <row r="47">
          <cell r="H47">
            <v>6</v>
          </cell>
        </row>
        <row r="48">
          <cell r="H48">
            <v>0</v>
          </cell>
        </row>
        <row r="49">
          <cell r="H49">
            <v>8</v>
          </cell>
        </row>
        <row r="50">
          <cell r="H50">
            <v>9.6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12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0">
          <cell r="H60">
            <v>15.2</v>
          </cell>
        </row>
        <row r="61">
          <cell r="H61">
            <v>10.9</v>
          </cell>
        </row>
        <row r="62">
          <cell r="H62">
            <v>0.1</v>
          </cell>
        </row>
        <row r="63">
          <cell r="H63">
            <v>42.400000000000006</v>
          </cell>
        </row>
        <row r="64">
          <cell r="H64">
            <v>0</v>
          </cell>
        </row>
        <row r="65">
          <cell r="H65">
            <v>8.4</v>
          </cell>
        </row>
        <row r="66">
          <cell r="H66">
            <v>4.8</v>
          </cell>
        </row>
        <row r="67">
          <cell r="H67">
            <v>1.6</v>
          </cell>
        </row>
        <row r="68">
          <cell r="H68">
            <v>4</v>
          </cell>
        </row>
        <row r="69">
          <cell r="H69">
            <v>2</v>
          </cell>
        </row>
        <row r="70">
          <cell r="H70">
            <v>3.5</v>
          </cell>
        </row>
        <row r="71">
          <cell r="H71">
            <v>20.399999999999999</v>
          </cell>
        </row>
        <row r="72">
          <cell r="H72">
            <v>8.8000000000000007</v>
          </cell>
        </row>
        <row r="73">
          <cell r="H73">
            <v>12</v>
          </cell>
        </row>
        <row r="83">
          <cell r="H83">
            <v>0</v>
          </cell>
        </row>
        <row r="87">
          <cell r="H87">
            <v>3213.5</v>
          </cell>
        </row>
        <row r="88">
          <cell r="H88">
            <v>142.4</v>
          </cell>
        </row>
        <row r="93">
          <cell r="H93">
            <v>1697</v>
          </cell>
        </row>
        <row r="95">
          <cell r="H95">
            <v>870.69999999999993</v>
          </cell>
        </row>
        <row r="96">
          <cell r="H96">
            <v>0</v>
          </cell>
        </row>
        <row r="97">
          <cell r="H97">
            <v>5400</v>
          </cell>
        </row>
        <row r="98">
          <cell r="H98">
            <v>0</v>
          </cell>
        </row>
        <row r="100">
          <cell r="H100">
            <v>214.3</v>
          </cell>
        </row>
        <row r="104">
          <cell r="H104">
            <v>0</v>
          </cell>
        </row>
        <row r="105">
          <cell r="H105">
            <v>223.2</v>
          </cell>
        </row>
        <row r="107">
          <cell r="H107">
            <v>0</v>
          </cell>
        </row>
        <row r="108">
          <cell r="H108">
            <v>0</v>
          </cell>
        </row>
      </sheetData>
      <sheetData sheetId="2"/>
      <sheetData sheetId="3">
        <row r="10">
          <cell r="H10">
            <v>2000</v>
          </cell>
        </row>
      </sheetData>
      <sheetData sheetId="4">
        <row r="11">
          <cell r="G11">
            <v>20</v>
          </cell>
        </row>
      </sheetData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Звіт по фінплану - зведені"/>
      <sheetName val="1.Фінансовий результат"/>
      <sheetName val="2. Розрахунки з бюджетом"/>
      <sheetName val="4. Кап. інвестиції"/>
      <sheetName val="5. Інша інформація"/>
      <sheetName val=" 6. Коефіцієнти"/>
      <sheetName val="3. Рух грошових коштів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план - зведені показники"/>
      <sheetName val="1.Фінансовий результат"/>
      <sheetName val="2. Розрахунки з бюджетом"/>
      <sheetName val="4. Кап. інвестиції"/>
      <sheetName val="5. Інша інформація"/>
      <sheetName val="3. Рух грошових коштів"/>
      <sheetName val="зміни"/>
      <sheetName val="річні зміни"/>
    </sheetNames>
    <sheetDataSet>
      <sheetData sheetId="0" refreshError="1"/>
      <sheetData sheetId="1">
        <row r="11">
          <cell r="G11">
            <v>944</v>
          </cell>
        </row>
        <row r="46">
          <cell r="K46">
            <v>0</v>
          </cell>
        </row>
      </sheetData>
      <sheetData sheetId="2">
        <row r="18">
          <cell r="G1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план - зведені показники"/>
      <sheetName val="1.Фінансовий результат"/>
      <sheetName val="2. Розрахунки з бюджетом"/>
      <sheetName val="4. Кап. інвестиції"/>
      <sheetName val="5. Інша інформація"/>
      <sheetName val="3. Рух грошових коштів"/>
    </sheetNames>
    <sheetDataSet>
      <sheetData sheetId="0" refreshError="1"/>
      <sheetData sheetId="1" refreshError="1">
        <row r="10">
          <cell r="G10">
            <v>11271.267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 2015"/>
      <sheetName val="Рух грошових коштів факт"/>
      <sheetName val="Фінплан 2015 перезахист"/>
      <sheetName val="Факт 9 місяців 2015"/>
      <sheetName val="Факт 1 півріччя 2015"/>
      <sheetName val="Факт 1 квартал 2015"/>
      <sheetName val="Фінплан 2015"/>
      <sheetName val="Рух грошових коштів"/>
      <sheetName val="ПР МЗО"/>
    </sheetNames>
    <sheetDataSet>
      <sheetData sheetId="0">
        <row r="58">
          <cell r="V58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одключения рекл щитов"/>
      <sheetName val="ФОП 01.02.2017"/>
      <sheetName val="Калькуляції використання опор"/>
      <sheetName val="підкл, відкл, погодж"/>
      <sheetName val="Лист4"/>
      <sheetName val="рекламоносії"/>
      <sheetName val="Калькуляції на послуги балансоу"/>
      <sheetName val="Послуги балансоутримувача"/>
      <sheetName val="Калькуляції на пульт"/>
      <sheetName val="пульт 2017"/>
      <sheetName val="штатний розпис"/>
      <sheetName val="Добовий графік"/>
      <sheetName val="Час освітлення"/>
      <sheetName val="бюджет доходів"/>
      <sheetName val="матеріальні витрати"/>
      <sheetName val="бюджет енерговитрат"/>
      <sheetName val="посадові оклади 31.12.16"/>
      <sheetName val="ФОП 31.12.16"/>
      <sheetName val="посадові оклади 01.02.17"/>
      <sheetName val="бюджет трудових витрат"/>
      <sheetName val="бюджет аморт.відрахувань"/>
      <sheetName val="бюджет ПДВ"/>
      <sheetName val="бюджет податків"/>
      <sheetName val="бюджет інши витрати"/>
      <sheetName val="Лист1"/>
      <sheetName val="Фінплан 2017"/>
      <sheetName val="Рух грошових коштів"/>
      <sheetName val="Фінансовий план"/>
      <sheetName val="грошові потоки"/>
      <sheetName val="20%"/>
      <sheetName val="ПР МЗО"/>
      <sheetName val="010115 21 особа"/>
      <sheetName val="Лист2"/>
      <sheetName val="Фінплан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34">
          <cell r="Z34">
            <v>2.8</v>
          </cell>
        </row>
        <row r="72">
          <cell r="Z72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Звіт по фінплану - зведені"/>
      <sheetName val="1.Фінансовий результат"/>
      <sheetName val="2. Розрахунки з бюджетом"/>
      <sheetName val="4. Кап. інвестиції"/>
      <sheetName val="5. Інша інформація"/>
      <sheetName val=" 6. Коефіцієнти"/>
      <sheetName val="3. Рух грошових коштів"/>
    </sheetNames>
    <sheetDataSet>
      <sheetData sheetId="0" refreshError="1"/>
      <sheetData sheetId="1">
        <row r="11">
          <cell r="D11">
            <v>520.4</v>
          </cell>
        </row>
        <row r="56">
          <cell r="D56">
            <v>0</v>
          </cell>
        </row>
        <row r="58">
          <cell r="D58">
            <v>0</v>
          </cell>
        </row>
      </sheetData>
      <sheetData sheetId="2">
        <row r="22">
          <cell r="D22">
            <v>1154.5999999999999</v>
          </cell>
        </row>
      </sheetData>
      <sheetData sheetId="3" refreshError="1"/>
      <sheetData sheetId="4">
        <row r="22">
          <cell r="C22">
            <v>98.7</v>
          </cell>
        </row>
      </sheetData>
      <sheetData sheetId="5" refreshError="1"/>
      <sheetData sheetId="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план - зведені показники"/>
      <sheetName val="1.Фінансовий результат"/>
      <sheetName val="2. Розрахунки з бюджетом"/>
      <sheetName val="4. Кап. інвестиції"/>
      <sheetName val="5. Інша інформація"/>
      <sheetName val="3. Рух грошових коштів"/>
      <sheetName val="річні зміни"/>
      <sheetName val="Лист1"/>
    </sheetNames>
    <sheetDataSet>
      <sheetData sheetId="0"/>
      <sheetData sheetId="1">
        <row r="11">
          <cell r="I11">
            <v>1199.8669999999997</v>
          </cell>
        </row>
        <row r="56">
          <cell r="L56">
            <v>0</v>
          </cell>
          <cell r="M56">
            <v>0</v>
          </cell>
        </row>
        <row r="58">
          <cell r="L58">
            <v>0</v>
          </cell>
          <cell r="M58">
            <v>0</v>
          </cell>
        </row>
      </sheetData>
      <sheetData sheetId="2">
        <row r="20">
          <cell r="I20">
            <v>2016.1</v>
          </cell>
        </row>
      </sheetData>
      <sheetData sheetId="3">
        <row r="10">
          <cell r="I10">
            <v>20</v>
          </cell>
        </row>
      </sheetData>
      <sheetData sheetId="4">
        <row r="14">
          <cell r="H14">
            <v>20</v>
          </cell>
        </row>
      </sheetData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план - зведені показники"/>
      <sheetName val="1.Фінансовий результат"/>
      <sheetName val="2. Розрахунки з бюджетом"/>
      <sheetName val="3. Рух грошових коштів"/>
      <sheetName val="4. Кап. інвестиції"/>
      <sheetName val="5. Інша інформація"/>
      <sheetName val="Лист1"/>
      <sheetName val="Лист2"/>
    </sheetNames>
    <sheetDataSet>
      <sheetData sheetId="0"/>
      <sheetData sheetId="1">
        <row r="13">
          <cell r="F13">
            <v>41462</v>
          </cell>
        </row>
        <row r="15">
          <cell r="C15">
            <v>1820.3</v>
          </cell>
          <cell r="E15">
            <v>4299.6000000000004</v>
          </cell>
          <cell r="F15">
            <v>4309.8</v>
          </cell>
        </row>
        <row r="24">
          <cell r="C24">
            <v>17028.2</v>
          </cell>
          <cell r="E24">
            <v>26660.400000000001</v>
          </cell>
          <cell r="F24">
            <v>8964.5</v>
          </cell>
        </row>
        <row r="29">
          <cell r="C29">
            <v>22820.3</v>
          </cell>
          <cell r="E29">
            <v>28280.6</v>
          </cell>
          <cell r="F29">
            <v>38688</v>
          </cell>
        </row>
      </sheetData>
      <sheetData sheetId="2"/>
      <sheetData sheetId="3"/>
      <sheetData sheetId="4">
        <row r="9">
          <cell r="H9">
            <v>0</v>
          </cell>
          <cell r="I9">
            <v>3000</v>
          </cell>
        </row>
      </sheetData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AM359"/>
  <sheetViews>
    <sheetView showZeros="0" view="pageBreakPreview" topLeftCell="A6" zoomScale="85" zoomScaleNormal="75" zoomScaleSheetLayoutView="85" workbookViewId="0">
      <selection activeCell="J122" sqref="J122"/>
    </sheetView>
  </sheetViews>
  <sheetFormatPr defaultColWidth="9.140625" defaultRowHeight="18.75" outlineLevelRow="1" outlineLevelCol="1"/>
  <cols>
    <col min="1" max="1" width="62.7109375" style="365" customWidth="1"/>
    <col min="2" max="2" width="8" style="21" customWidth="1"/>
    <col min="3" max="3" width="12.42578125" style="367" hidden="1" customWidth="1" outlineLevel="1"/>
    <col min="4" max="4" width="13.7109375" style="367" hidden="1" customWidth="1" outlineLevel="1"/>
    <col min="5" max="5" width="12.5703125" style="367" hidden="1" customWidth="1" outlineLevel="1"/>
    <col min="6" max="6" width="12.5703125" style="367" hidden="1" customWidth="1" outlineLevel="1" collapsed="1"/>
    <col min="7" max="8" width="14.140625" style="367" hidden="1" customWidth="1" outlineLevel="1"/>
    <col min="9" max="9" width="18.42578125" style="367" customWidth="1" collapsed="1"/>
    <col min="10" max="10" width="18" style="365" customWidth="1"/>
    <col min="11" max="11" width="13" style="365" hidden="1" customWidth="1" outlineLevel="1"/>
    <col min="12" max="12" width="11.7109375" style="365" hidden="1" customWidth="1" outlineLevel="1"/>
    <col min="13" max="13" width="12.42578125" style="365" hidden="1" customWidth="1" outlineLevel="1"/>
    <col min="14" max="14" width="11.5703125" style="365" hidden="1" customWidth="1" outlineLevel="1"/>
    <col min="15" max="15" width="11.5703125" style="244" bestFit="1" customWidth="1" collapsed="1"/>
    <col min="16" max="16" width="87.5703125" style="365" customWidth="1"/>
    <col min="17" max="17" width="10.28515625" style="365" bestFit="1" customWidth="1"/>
    <col min="18" max="16384" width="9.140625" style="365"/>
  </cols>
  <sheetData>
    <row r="1" spans="1:39" ht="80.25" customHeight="1">
      <c r="A1" s="548" t="s">
        <v>481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</row>
    <row r="2" spans="1:39" ht="12" customHeight="1">
      <c r="A2" s="362"/>
      <c r="B2" s="362"/>
      <c r="C2" s="135"/>
      <c r="D2" s="135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440"/>
    </row>
    <row r="3" spans="1:39" s="393" customFormat="1" ht="36" customHeight="1">
      <c r="A3" s="549" t="s">
        <v>196</v>
      </c>
      <c r="B3" s="534" t="s">
        <v>7</v>
      </c>
      <c r="C3" s="532" t="s">
        <v>423</v>
      </c>
      <c r="D3" s="550" t="s">
        <v>424</v>
      </c>
      <c r="E3" s="532" t="str">
        <f>'[37]Фінплан - зведені показники'!E15</f>
        <v xml:space="preserve">Факт 2017 року </v>
      </c>
      <c r="F3" s="532" t="str">
        <f>'[37]Фінплан - зведені показники'!F15</f>
        <v xml:space="preserve">Факт 2018 року </v>
      </c>
      <c r="G3" s="532" t="str">
        <f>'[37]Фінплан - зведені показники'!G15</f>
        <v>Фінансовий план 2019 року</v>
      </c>
      <c r="H3" s="532" t="str">
        <f>'[37]Фінплан - зведені показники'!H15</f>
        <v>Факт 2019 року</v>
      </c>
      <c r="I3" s="532" t="str">
        <f>'[37]Фінплан - зведені показники'!I15</f>
        <v>Фінансовий план 2020 року</v>
      </c>
      <c r="J3" s="532" t="str">
        <f>'[37]Фінплан - зведені показники'!J15</f>
        <v>Плановий 2020 рік  (зі змінами)</v>
      </c>
      <c r="K3" s="534" t="s">
        <v>284</v>
      </c>
      <c r="L3" s="534"/>
      <c r="M3" s="534"/>
      <c r="N3" s="534"/>
      <c r="O3" s="535" t="s">
        <v>425</v>
      </c>
      <c r="P3" s="532" t="s">
        <v>426</v>
      </c>
    </row>
    <row r="4" spans="1:39" s="393" customFormat="1" ht="9" customHeight="1">
      <c r="A4" s="549"/>
      <c r="B4" s="534"/>
      <c r="C4" s="533"/>
      <c r="D4" s="550"/>
      <c r="E4" s="533"/>
      <c r="F4" s="533"/>
      <c r="G4" s="533"/>
      <c r="H4" s="533"/>
      <c r="I4" s="533"/>
      <c r="J4" s="533"/>
      <c r="K4" s="394" t="s">
        <v>155</v>
      </c>
      <c r="L4" s="394" t="s">
        <v>156</v>
      </c>
      <c r="M4" s="394" t="s">
        <v>157</v>
      </c>
      <c r="N4" s="394" t="s">
        <v>61</v>
      </c>
      <c r="O4" s="536"/>
      <c r="P4" s="533"/>
    </row>
    <row r="5" spans="1:39" ht="18" hidden="1" customHeight="1">
      <c r="A5" s="363">
        <v>1</v>
      </c>
      <c r="B5" s="364">
        <v>2</v>
      </c>
      <c r="C5" s="366">
        <v>3</v>
      </c>
      <c r="D5" s="366">
        <v>3</v>
      </c>
      <c r="E5" s="366">
        <v>3</v>
      </c>
      <c r="F5" s="366">
        <v>3</v>
      </c>
      <c r="G5" s="366">
        <v>4</v>
      </c>
      <c r="H5" s="366">
        <v>5</v>
      </c>
      <c r="I5" s="366"/>
      <c r="J5" s="366">
        <v>6</v>
      </c>
      <c r="K5" s="366">
        <v>7</v>
      </c>
      <c r="L5" s="366">
        <v>8</v>
      </c>
      <c r="M5" s="366">
        <v>9</v>
      </c>
      <c r="N5" s="366">
        <v>10</v>
      </c>
      <c r="O5" s="440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</row>
    <row r="6" spans="1:39" s="5" customFormat="1" ht="20.100000000000001" customHeight="1">
      <c r="A6" s="537" t="s">
        <v>87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9"/>
      <c r="O6" s="440"/>
      <c r="P6" s="365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</row>
    <row r="7" spans="1:39" s="117" customFormat="1" ht="37.5" hidden="1">
      <c r="A7" s="189" t="s">
        <v>235</v>
      </c>
      <c r="B7" s="395">
        <v>1000</v>
      </c>
      <c r="C7" s="270">
        <f t="shared" ref="C7:N7" si="0">C8+C9+C10</f>
        <v>0</v>
      </c>
      <c r="D7" s="316">
        <f t="shared" si="0"/>
        <v>0</v>
      </c>
      <c r="E7" s="316">
        <f>E8+E9+E10</f>
        <v>0</v>
      </c>
      <c r="F7" s="316">
        <f>F8+F9+F10</f>
        <v>0</v>
      </c>
      <c r="G7" s="316">
        <f>G8+G9+G10</f>
        <v>0</v>
      </c>
      <c r="H7" s="316">
        <f>H8+H9+H10</f>
        <v>0</v>
      </c>
      <c r="I7" s="316">
        <f>SUM(K7:N7)</f>
        <v>0</v>
      </c>
      <c r="J7" s="316"/>
      <c r="K7" s="316">
        <f>K8+K9+K10</f>
        <v>0</v>
      </c>
      <c r="L7" s="316">
        <f>L8+L9+L10</f>
        <v>0</v>
      </c>
      <c r="M7" s="316">
        <f t="shared" si="0"/>
        <v>0</v>
      </c>
      <c r="N7" s="396">
        <f t="shared" si="0"/>
        <v>0</v>
      </c>
      <c r="O7" s="441">
        <f>J7-I7</f>
        <v>0</v>
      </c>
      <c r="P7" s="428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3"/>
      <c r="AK7" s="393"/>
      <c r="AL7" s="393"/>
      <c r="AM7" s="393"/>
    </row>
    <row r="8" spans="1:39" s="117" customFormat="1" hidden="1">
      <c r="A8" s="118" t="s">
        <v>238</v>
      </c>
      <c r="B8" s="366">
        <v>1010</v>
      </c>
      <c r="C8" s="271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397"/>
      <c r="O8" s="411">
        <f t="shared" ref="O8:O71" si="1">J8-I8</f>
        <v>0</v>
      </c>
      <c r="P8" s="429" t="s">
        <v>427</v>
      </c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3"/>
      <c r="AK8" s="393"/>
      <c r="AL8" s="393"/>
      <c r="AM8" s="393"/>
    </row>
    <row r="9" spans="1:39" s="117" customFormat="1" ht="20.100000000000001" hidden="1" customHeight="1" outlineLevel="1">
      <c r="A9" s="118" t="s">
        <v>239</v>
      </c>
      <c r="B9" s="366">
        <v>1011</v>
      </c>
      <c r="C9" s="271"/>
      <c r="D9" s="112"/>
      <c r="E9" s="112"/>
      <c r="F9" s="112"/>
      <c r="G9" s="112"/>
      <c r="H9" s="112"/>
      <c r="I9" s="112"/>
      <c r="J9" s="112"/>
      <c r="K9" s="316"/>
      <c r="L9" s="316"/>
      <c r="M9" s="316"/>
      <c r="N9" s="396"/>
      <c r="O9" s="411">
        <f t="shared" si="1"/>
        <v>0</v>
      </c>
      <c r="P9" s="430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</row>
    <row r="10" spans="1:39" s="117" customFormat="1" ht="20.100000000000001" hidden="1" customHeight="1" outlineLevel="1">
      <c r="A10" s="118" t="s">
        <v>240</v>
      </c>
      <c r="B10" s="366">
        <v>1012</v>
      </c>
      <c r="C10" s="271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397"/>
      <c r="O10" s="411">
        <f t="shared" si="1"/>
        <v>0</v>
      </c>
      <c r="P10" s="430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</row>
    <row r="11" spans="1:39" s="400" customFormat="1" ht="18.75" hidden="1" customHeight="1" outlineLevel="1">
      <c r="A11" s="119" t="s">
        <v>428</v>
      </c>
      <c r="B11" s="310">
        <v>1</v>
      </c>
      <c r="C11" s="272"/>
      <c r="D11" s="398"/>
      <c r="E11" s="398"/>
      <c r="F11" s="398"/>
      <c r="G11" s="398"/>
      <c r="H11" s="398"/>
      <c r="I11" s="398"/>
      <c r="J11" s="112"/>
      <c r="K11" s="398"/>
      <c r="L11" s="398"/>
      <c r="M11" s="398"/>
      <c r="N11" s="399"/>
      <c r="O11" s="411">
        <f t="shared" si="1"/>
        <v>0</v>
      </c>
      <c r="P11" s="430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</row>
    <row r="12" spans="1:39" s="400" customFormat="1" ht="19.5" hidden="1" customHeight="1" collapsed="1">
      <c r="A12" s="119"/>
      <c r="B12" s="310"/>
      <c r="C12" s="272"/>
      <c r="D12" s="398"/>
      <c r="E12" s="398"/>
      <c r="F12" s="112"/>
      <c r="G12" s="112"/>
      <c r="H12" s="398"/>
      <c r="I12" s="398"/>
      <c r="J12" s="112"/>
      <c r="K12" s="398"/>
      <c r="L12" s="398"/>
      <c r="M12" s="398"/>
      <c r="N12" s="399"/>
      <c r="O12" s="411">
        <f t="shared" si="1"/>
        <v>0</v>
      </c>
      <c r="P12" s="430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</row>
    <row r="13" spans="1:39" s="117" customFormat="1" ht="30" hidden="1">
      <c r="A13" s="118" t="s">
        <v>236</v>
      </c>
      <c r="B13" s="366">
        <v>1020</v>
      </c>
      <c r="C13" s="271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397"/>
      <c r="O13" s="411">
        <f t="shared" si="1"/>
        <v>0</v>
      </c>
      <c r="P13" s="431" t="s">
        <v>429</v>
      </c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3"/>
      <c r="AM13" s="393"/>
    </row>
    <row r="14" spans="1:39" s="117" customFormat="1" ht="20.100000000000001" hidden="1" customHeight="1" outlineLevel="1">
      <c r="A14" s="118" t="s">
        <v>237</v>
      </c>
      <c r="B14" s="366">
        <v>1030</v>
      </c>
      <c r="C14" s="401"/>
      <c r="D14" s="112"/>
      <c r="E14" s="112"/>
      <c r="F14" s="112"/>
      <c r="G14" s="112"/>
      <c r="H14" s="112"/>
      <c r="I14" s="112"/>
      <c r="J14" s="112"/>
      <c r="K14" s="402"/>
      <c r="L14" s="402"/>
      <c r="M14" s="402"/>
      <c r="N14" s="403"/>
      <c r="O14" s="411">
        <f t="shared" si="1"/>
        <v>0</v>
      </c>
      <c r="P14" s="428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  <c r="AL14" s="393"/>
      <c r="AM14" s="393"/>
    </row>
    <row r="15" spans="1:39" s="117" customFormat="1" ht="83.25" customHeight="1" collapsed="1">
      <c r="A15" s="443" t="s">
        <v>95</v>
      </c>
      <c r="B15" s="444">
        <v>1040</v>
      </c>
      <c r="C15" s="445">
        <f t="shared" ref="C15:G15" si="2">C7-C13-C14</f>
        <v>0</v>
      </c>
      <c r="D15" s="446">
        <f t="shared" si="2"/>
        <v>0</v>
      </c>
      <c r="E15" s="446">
        <f t="shared" si="2"/>
        <v>0</v>
      </c>
      <c r="F15" s="446">
        <f t="shared" si="2"/>
        <v>0</v>
      </c>
      <c r="G15" s="446">
        <f t="shared" si="2"/>
        <v>0</v>
      </c>
      <c r="H15" s="446">
        <f>H7-H13-H14</f>
        <v>0</v>
      </c>
      <c r="I15" s="446">
        <f>SUM(K15:N15)</f>
        <v>75384.899999999994</v>
      </c>
      <c r="J15" s="446">
        <f>'Фінплан - зведені показники'!F16</f>
        <v>96345.5</v>
      </c>
      <c r="K15" s="446">
        <v>18551.5</v>
      </c>
      <c r="L15" s="446">
        <v>19507.8</v>
      </c>
      <c r="M15" s="446">
        <v>18388.599999999999</v>
      </c>
      <c r="N15" s="447">
        <v>18937</v>
      </c>
      <c r="O15" s="448">
        <f t="shared" si="1"/>
        <v>20960.600000000006</v>
      </c>
      <c r="P15" s="429" t="s">
        <v>487</v>
      </c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</row>
    <row r="16" spans="1:39" s="120" customFormat="1" ht="37.5" customHeight="1">
      <c r="A16" s="443" t="s">
        <v>111</v>
      </c>
      <c r="B16" s="444">
        <v>1050</v>
      </c>
      <c r="C16" s="449">
        <f t="shared" ref="C16" si="3">SUM(C17:C24)</f>
        <v>0</v>
      </c>
      <c r="D16" s="450">
        <f t="shared" ref="D16:H16" si="4">SUM(D17:D24)</f>
        <v>0</v>
      </c>
      <c r="E16" s="450">
        <f t="shared" si="4"/>
        <v>0</v>
      </c>
      <c r="F16" s="450">
        <f t="shared" si="4"/>
        <v>0</v>
      </c>
      <c r="G16" s="450">
        <f t="shared" si="4"/>
        <v>0</v>
      </c>
      <c r="H16" s="450">
        <f t="shared" si="4"/>
        <v>0</v>
      </c>
      <c r="I16" s="446">
        <f>SUM(K16:N16)</f>
        <v>71423.599999999991</v>
      </c>
      <c r="J16" s="446">
        <f>'Фінплан - зведені показники'!F17</f>
        <v>91729.099999999977</v>
      </c>
      <c r="K16" s="450">
        <v>17533.099999999999</v>
      </c>
      <c r="L16" s="450">
        <v>18436.3</v>
      </c>
      <c r="M16" s="450">
        <v>17401.099999999999</v>
      </c>
      <c r="N16" s="451">
        <v>18053.099999999999</v>
      </c>
      <c r="O16" s="448">
        <f t="shared" si="1"/>
        <v>20305.499999999985</v>
      </c>
      <c r="P16" s="428"/>
      <c r="Q16" s="405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</row>
    <row r="17" spans="1:39" s="122" customFormat="1" ht="20.100000000000001" hidden="1" customHeight="1" outlineLevel="1">
      <c r="A17" s="121" t="s">
        <v>208</v>
      </c>
      <c r="B17" s="274">
        <v>1051</v>
      </c>
      <c r="C17" s="271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397"/>
      <c r="O17" s="411">
        <f t="shared" si="1"/>
        <v>0</v>
      </c>
      <c r="P17" s="428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</row>
    <row r="18" spans="1:39" s="122" customFormat="1" ht="20.100000000000001" hidden="1" customHeight="1" outlineLevel="1">
      <c r="A18" s="121" t="s">
        <v>53</v>
      </c>
      <c r="B18" s="274">
        <v>1052</v>
      </c>
      <c r="C18" s="271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397"/>
      <c r="O18" s="411">
        <f t="shared" si="1"/>
        <v>0</v>
      </c>
      <c r="P18" s="428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</row>
    <row r="19" spans="1:39" s="122" customFormat="1" ht="20.100000000000001" hidden="1" customHeight="1" outlineLevel="1">
      <c r="A19" s="121" t="s">
        <v>52</v>
      </c>
      <c r="B19" s="274">
        <v>1053</v>
      </c>
      <c r="C19" s="271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397"/>
      <c r="O19" s="411">
        <f t="shared" si="1"/>
        <v>0</v>
      </c>
      <c r="P19" s="428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3"/>
      <c r="AK19" s="393"/>
      <c r="AL19" s="393"/>
      <c r="AM19" s="393"/>
    </row>
    <row r="20" spans="1:39" s="122" customFormat="1" hidden="1" collapsed="1">
      <c r="A20" s="121" t="s">
        <v>27</v>
      </c>
      <c r="B20" s="274">
        <v>1054</v>
      </c>
      <c r="C20" s="271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397"/>
      <c r="O20" s="411">
        <f t="shared" si="1"/>
        <v>0</v>
      </c>
      <c r="P20" s="540" t="s">
        <v>430</v>
      </c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</row>
    <row r="21" spans="1:39" s="122" customFormat="1" hidden="1">
      <c r="A21" s="121" t="s">
        <v>28</v>
      </c>
      <c r="B21" s="274">
        <v>1055</v>
      </c>
      <c r="C21" s="271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397"/>
      <c r="O21" s="411">
        <f t="shared" si="1"/>
        <v>0</v>
      </c>
      <c r="P21" s="541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</row>
    <row r="22" spans="1:39" s="122" customFormat="1" ht="56.25" hidden="1">
      <c r="A22" s="121" t="s">
        <v>431</v>
      </c>
      <c r="B22" s="274">
        <v>1056</v>
      </c>
      <c r="C22" s="27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397"/>
      <c r="O22" s="411">
        <f t="shared" si="1"/>
        <v>0</v>
      </c>
      <c r="P22" s="429" t="s">
        <v>432</v>
      </c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</row>
    <row r="23" spans="1:39" s="122" customFormat="1" ht="37.5" hidden="1" outlineLevel="1">
      <c r="A23" s="121" t="s">
        <v>51</v>
      </c>
      <c r="B23" s="274">
        <v>1057</v>
      </c>
      <c r="C23" s="27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397"/>
      <c r="O23" s="411">
        <f t="shared" si="1"/>
        <v>0</v>
      </c>
      <c r="P23" s="428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</row>
    <row r="24" spans="1:39" s="122" customFormat="1" ht="20.100000000000001" hidden="1" customHeight="1" collapsed="1">
      <c r="A24" s="121" t="s">
        <v>109</v>
      </c>
      <c r="B24" s="274">
        <v>1058</v>
      </c>
      <c r="C24" s="271"/>
      <c r="D24" s="112"/>
      <c r="E24" s="112"/>
      <c r="F24" s="112"/>
      <c r="G24" s="112"/>
      <c r="H24" s="112"/>
      <c r="I24" s="112"/>
      <c r="J24" s="112"/>
      <c r="K24" s="112">
        <f t="shared" ref="K24:N24" si="5">SUM(K25:K26)</f>
        <v>0</v>
      </c>
      <c r="L24" s="112">
        <f t="shared" si="5"/>
        <v>0</v>
      </c>
      <c r="M24" s="112">
        <f t="shared" si="5"/>
        <v>0</v>
      </c>
      <c r="N24" s="397">
        <f t="shared" si="5"/>
        <v>0</v>
      </c>
      <c r="O24" s="411">
        <f t="shared" si="1"/>
        <v>0</v>
      </c>
      <c r="P24" s="540" t="s">
        <v>433</v>
      </c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</row>
    <row r="25" spans="1:39" s="408" customFormat="1" ht="20.100000000000001" hidden="1" customHeight="1" outlineLevel="1">
      <c r="A25" s="406" t="s">
        <v>434</v>
      </c>
      <c r="B25" s="407">
        <v>1</v>
      </c>
      <c r="C25" s="272"/>
      <c r="D25" s="398"/>
      <c r="E25" s="398"/>
      <c r="F25" s="398"/>
      <c r="G25" s="398"/>
      <c r="H25" s="112"/>
      <c r="I25" s="398"/>
      <c r="J25" s="398"/>
      <c r="K25" s="398"/>
      <c r="L25" s="398"/>
      <c r="M25" s="398"/>
      <c r="N25" s="399"/>
      <c r="O25" s="411">
        <f t="shared" si="1"/>
        <v>0</v>
      </c>
      <c r="P25" s="542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3"/>
    </row>
    <row r="26" spans="1:39" s="408" customFormat="1" ht="33" hidden="1" collapsed="1">
      <c r="A26" s="406" t="s">
        <v>435</v>
      </c>
      <c r="B26" s="407">
        <v>2</v>
      </c>
      <c r="C26" s="272"/>
      <c r="D26" s="398"/>
      <c r="E26" s="398"/>
      <c r="F26" s="398"/>
      <c r="G26" s="398"/>
      <c r="H26" s="112"/>
      <c r="I26" s="398"/>
      <c r="J26" s="398"/>
      <c r="K26" s="409">
        <f>K93</f>
        <v>0</v>
      </c>
      <c r="L26" s="409">
        <f>L93</f>
        <v>0</v>
      </c>
      <c r="M26" s="409">
        <f>M93</f>
        <v>0</v>
      </c>
      <c r="N26" s="410">
        <f>N93</f>
        <v>0</v>
      </c>
      <c r="O26" s="411">
        <f t="shared" si="1"/>
        <v>0</v>
      </c>
      <c r="P26" s="541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3"/>
      <c r="AM26" s="393"/>
    </row>
    <row r="27" spans="1:39" s="412" customFormat="1" ht="31.5" customHeight="1">
      <c r="A27" s="452" t="s">
        <v>257</v>
      </c>
      <c r="B27" s="453">
        <v>1060</v>
      </c>
      <c r="C27" s="454">
        <f t="shared" ref="C27:N27" si="6">C15-C16</f>
        <v>0</v>
      </c>
      <c r="D27" s="455">
        <f t="shared" si="6"/>
        <v>0</v>
      </c>
      <c r="E27" s="455">
        <f t="shared" si="6"/>
        <v>0</v>
      </c>
      <c r="F27" s="455">
        <f t="shared" si="6"/>
        <v>0</v>
      </c>
      <c r="G27" s="455">
        <f t="shared" si="6"/>
        <v>0</v>
      </c>
      <c r="H27" s="455">
        <f t="shared" si="6"/>
        <v>0</v>
      </c>
      <c r="I27" s="455">
        <f>SUM(K27:N27)</f>
        <v>3961.3000000000029</v>
      </c>
      <c r="J27" s="455">
        <f>'Фінплан - зведені показники'!F18</f>
        <v>4616.4000000000233</v>
      </c>
      <c r="K27" s="455">
        <f t="shared" si="6"/>
        <v>1018.4000000000015</v>
      </c>
      <c r="L27" s="455">
        <f t="shared" si="6"/>
        <v>1071.5</v>
      </c>
      <c r="M27" s="455">
        <f t="shared" si="6"/>
        <v>987.5</v>
      </c>
      <c r="N27" s="455">
        <f t="shared" si="6"/>
        <v>883.90000000000146</v>
      </c>
      <c r="O27" s="456">
        <f t="shared" si="1"/>
        <v>655.10000000002037</v>
      </c>
      <c r="P27" s="432"/>
      <c r="Q27" s="408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  <c r="AJ27" s="393"/>
      <c r="AK27" s="393"/>
      <c r="AL27" s="393"/>
      <c r="AM27" s="393"/>
    </row>
    <row r="28" spans="1:39" hidden="1" outlineLevel="1">
      <c r="A28" s="457" t="s">
        <v>176</v>
      </c>
      <c r="B28" s="458">
        <v>1070</v>
      </c>
      <c r="C28" s="459">
        <f t="shared" ref="C28:N28" si="7">SUM(C29:C31)</f>
        <v>954.09999999999991</v>
      </c>
      <c r="D28" s="460">
        <f t="shared" si="7"/>
        <v>1611.8999999999999</v>
      </c>
      <c r="E28" s="460">
        <f t="shared" si="7"/>
        <v>2583.8000000000002</v>
      </c>
      <c r="F28" s="460">
        <f t="shared" si="7"/>
        <v>2946.5999999999995</v>
      </c>
      <c r="G28" s="460">
        <f t="shared" si="7"/>
        <v>3447.5</v>
      </c>
      <c r="H28" s="460">
        <f t="shared" si="7"/>
        <v>3447.5</v>
      </c>
      <c r="I28" s="460"/>
      <c r="J28" s="461"/>
      <c r="K28" s="462">
        <f t="shared" si="7"/>
        <v>6.3</v>
      </c>
      <c r="L28" s="462">
        <f t="shared" si="7"/>
        <v>6.3</v>
      </c>
      <c r="M28" s="462">
        <f t="shared" si="7"/>
        <v>6.3</v>
      </c>
      <c r="N28" s="463">
        <f t="shared" si="7"/>
        <v>6.4</v>
      </c>
      <c r="O28" s="464">
        <f t="shared" si="1"/>
        <v>0</v>
      </c>
      <c r="P28" s="428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  <c r="AJ28" s="393"/>
      <c r="AK28" s="393"/>
      <c r="AL28" s="393"/>
      <c r="AM28" s="393"/>
    </row>
    <row r="29" spans="1:39" s="413" customFormat="1" ht="20.100000000000001" hidden="1" customHeight="1" outlineLevel="1">
      <c r="A29" s="416" t="s">
        <v>436</v>
      </c>
      <c r="B29" s="465">
        <v>1</v>
      </c>
      <c r="C29" s="466">
        <f>'[38]Факт 2015'!$V$23</f>
        <v>699.3</v>
      </c>
      <c r="D29" s="418">
        <f>'[39]1.Фінансовий результат'!D38</f>
        <v>1296.5999999999999</v>
      </c>
      <c r="E29" s="418">
        <f>'[40]1.Фінансовий результат'!D38</f>
        <v>2240.3000000000002</v>
      </c>
      <c r="F29" s="418">
        <f>'[41]1.Фінансовий результат'!D32</f>
        <v>2666.3999999999996</v>
      </c>
      <c r="G29" s="418">
        <f>'[42]1.Фінансовий результат'!H32</f>
        <v>3213.5</v>
      </c>
      <c r="H29" s="418">
        <f t="shared" ref="H29:H53" si="8">G29</f>
        <v>3213.5</v>
      </c>
      <c r="I29" s="181"/>
      <c r="J29" s="181"/>
      <c r="K29" s="418"/>
      <c r="L29" s="418"/>
      <c r="M29" s="418"/>
      <c r="N29" s="419"/>
      <c r="O29" s="467">
        <f t="shared" si="1"/>
        <v>0</v>
      </c>
      <c r="P29" s="428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3"/>
    </row>
    <row r="30" spans="1:39" s="413" customFormat="1" ht="20.100000000000001" hidden="1" customHeight="1" outlineLevel="1">
      <c r="A30" s="416" t="s">
        <v>437</v>
      </c>
      <c r="B30" s="465">
        <v>2</v>
      </c>
      <c r="C30" s="466">
        <v>254.8</v>
      </c>
      <c r="D30" s="418">
        <f>'[39]1.Фінансовий результат'!D39</f>
        <v>314.5</v>
      </c>
      <c r="E30" s="418">
        <f>'[40]1.Фінансовий результат'!D39</f>
        <v>342.7</v>
      </c>
      <c r="F30" s="418">
        <f>'[41]1.Фінансовий результат'!D33</f>
        <v>276.5</v>
      </c>
      <c r="G30" s="418">
        <f>'[42]1.Фінансовий результат'!H33</f>
        <v>234</v>
      </c>
      <c r="H30" s="418">
        <f t="shared" si="8"/>
        <v>234</v>
      </c>
      <c r="I30" s="181"/>
      <c r="J30" s="181"/>
      <c r="K30" s="418"/>
      <c r="L30" s="418"/>
      <c r="M30" s="418"/>
      <c r="N30" s="419"/>
      <c r="O30" s="467">
        <f t="shared" si="1"/>
        <v>0</v>
      </c>
      <c r="P30" s="428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</row>
    <row r="31" spans="1:39" s="413" customFormat="1" ht="20.100000000000001" hidden="1" customHeight="1" outlineLevel="1">
      <c r="A31" s="416" t="s">
        <v>438</v>
      </c>
      <c r="B31" s="465">
        <v>3</v>
      </c>
      <c r="C31" s="466"/>
      <c r="D31" s="418">
        <f>'[39]1.Фінансовий результат'!D40</f>
        <v>0.8</v>
      </c>
      <c r="E31" s="418">
        <f>'[40]1.Фінансовий результат'!D40</f>
        <v>0.8</v>
      </c>
      <c r="F31" s="418">
        <f>'[41]1.Фінансовий результат'!D34</f>
        <v>3.7</v>
      </c>
      <c r="G31" s="418">
        <f>'[42]1.Фінансовий результат'!H34</f>
        <v>0</v>
      </c>
      <c r="H31" s="418">
        <f t="shared" si="8"/>
        <v>0</v>
      </c>
      <c r="I31" s="468">
        <f>SUM(K31:N31)</f>
        <v>25.299999999999997</v>
      </c>
      <c r="J31" s="181"/>
      <c r="K31" s="418">
        <v>6.3</v>
      </c>
      <c r="L31" s="418">
        <v>6.3</v>
      </c>
      <c r="M31" s="418">
        <v>6.3</v>
      </c>
      <c r="N31" s="419">
        <v>6.4</v>
      </c>
      <c r="O31" s="467">
        <f t="shared" si="1"/>
        <v>-25.299999999999997</v>
      </c>
      <c r="P31" s="428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</row>
    <row r="32" spans="1:39" s="120" customFormat="1" ht="20.100000000000001" customHeight="1" collapsed="1">
      <c r="A32" s="443" t="s">
        <v>181</v>
      </c>
      <c r="B32" s="444">
        <v>1080</v>
      </c>
      <c r="C32" s="445">
        <f t="shared" ref="C32:H32" si="9">SUM(C33:C55)</f>
        <v>873.69999999999993</v>
      </c>
      <c r="D32" s="446">
        <f t="shared" si="9"/>
        <v>1267.9000000000001</v>
      </c>
      <c r="E32" s="446">
        <f t="shared" si="9"/>
        <v>1600.8</v>
      </c>
      <c r="F32" s="446">
        <f t="shared" si="9"/>
        <v>2014.2000000000003</v>
      </c>
      <c r="G32" s="446">
        <f t="shared" si="9"/>
        <v>2523.3999999999996</v>
      </c>
      <c r="H32" s="446">
        <f t="shared" si="9"/>
        <v>2523.3999999999996</v>
      </c>
      <c r="I32" s="446">
        <v>1709.8</v>
      </c>
      <c r="J32" s="446">
        <f>'Фінплан - зведені показники'!F20</f>
        <v>1979.4999999999998</v>
      </c>
      <c r="K32" s="446">
        <v>469.8</v>
      </c>
      <c r="L32" s="446">
        <v>427.3</v>
      </c>
      <c r="M32" s="446">
        <v>418.1</v>
      </c>
      <c r="N32" s="447">
        <v>346.9</v>
      </c>
      <c r="O32" s="448">
        <f t="shared" si="1"/>
        <v>269.69999999999982</v>
      </c>
      <c r="P32" s="428"/>
      <c r="Q32" s="414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93"/>
      <c r="AL32" s="393"/>
      <c r="AM32" s="393"/>
    </row>
    <row r="33" spans="1:39" s="120" customFormat="1" ht="31.5" hidden="1" outlineLevel="1">
      <c r="A33" s="174" t="s">
        <v>94</v>
      </c>
      <c r="B33" s="469">
        <v>1081</v>
      </c>
      <c r="C33" s="470"/>
      <c r="D33" s="181">
        <f>'[39]1.Фінансовий результат'!D42</f>
        <v>0</v>
      </c>
      <c r="E33" s="181">
        <f>'[43]1.Фінансовий результат'!D42+'[44]1.Фінансовий результат'!K42</f>
        <v>0</v>
      </c>
      <c r="F33" s="181">
        <f>'[41]1.Фінансовий результат'!D36</f>
        <v>0</v>
      </c>
      <c r="G33" s="181">
        <f>'[45]1.Фінансовий результат'!G33</f>
        <v>0</v>
      </c>
      <c r="H33" s="418">
        <f t="shared" si="8"/>
        <v>0</v>
      </c>
      <c r="I33" s="418">
        <f t="shared" ref="I33:I47" si="10">SUM(K33:N33)</f>
        <v>0</v>
      </c>
      <c r="J33" s="181"/>
      <c r="K33" s="181"/>
      <c r="L33" s="181"/>
      <c r="M33" s="181"/>
      <c r="N33" s="415"/>
      <c r="O33" s="467">
        <f t="shared" si="1"/>
        <v>0</v>
      </c>
      <c r="P33" s="428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3"/>
      <c r="AL33" s="393"/>
      <c r="AM33" s="393"/>
    </row>
    <row r="34" spans="1:39" s="120" customFormat="1" ht="20.100000000000001" hidden="1" customHeight="1" outlineLevel="1">
      <c r="A34" s="174" t="s">
        <v>172</v>
      </c>
      <c r="B34" s="469">
        <v>1082</v>
      </c>
      <c r="C34" s="470"/>
      <c r="D34" s="181">
        <f>'[39]1.Фінансовий результат'!D43</f>
        <v>0</v>
      </c>
      <c r="E34" s="181">
        <f>'[43]1.Фінансовий результат'!D43+'[44]1.Фінансовий результат'!K43</f>
        <v>0</v>
      </c>
      <c r="F34" s="181">
        <f>'[41]1.Фінансовий результат'!D37</f>
        <v>0</v>
      </c>
      <c r="G34" s="181">
        <f>'[45]1.Фінансовий результат'!G34</f>
        <v>0</v>
      </c>
      <c r="H34" s="418">
        <f t="shared" si="8"/>
        <v>0</v>
      </c>
      <c r="I34" s="418">
        <f t="shared" si="10"/>
        <v>0</v>
      </c>
      <c r="J34" s="181"/>
      <c r="K34" s="181"/>
      <c r="L34" s="181"/>
      <c r="M34" s="181"/>
      <c r="N34" s="415"/>
      <c r="O34" s="467">
        <f t="shared" si="1"/>
        <v>0</v>
      </c>
      <c r="P34" s="428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3"/>
    </row>
    <row r="35" spans="1:39" s="120" customFormat="1" ht="20.100000000000001" hidden="1" customHeight="1" outlineLevel="1">
      <c r="A35" s="174" t="s">
        <v>50</v>
      </c>
      <c r="B35" s="469">
        <v>1083</v>
      </c>
      <c r="C35" s="470"/>
      <c r="D35" s="181">
        <f>'[39]1.Фінансовий результат'!D44</f>
        <v>0</v>
      </c>
      <c r="E35" s="181">
        <f>'[43]1.Фінансовий результат'!D44+'[44]1.Фінансовий результат'!K44</f>
        <v>0</v>
      </c>
      <c r="F35" s="181">
        <f>'[41]1.Фінансовий результат'!D38</f>
        <v>0</v>
      </c>
      <c r="G35" s="181">
        <f>'[45]1.Фінансовий результат'!G35</f>
        <v>0</v>
      </c>
      <c r="H35" s="418">
        <f t="shared" si="8"/>
        <v>0</v>
      </c>
      <c r="I35" s="418">
        <f t="shared" si="10"/>
        <v>9</v>
      </c>
      <c r="J35" s="181">
        <f>'1.Фінансовий результат'!F85</f>
        <v>0</v>
      </c>
      <c r="K35" s="181"/>
      <c r="L35" s="181">
        <v>9</v>
      </c>
      <c r="M35" s="181"/>
      <c r="N35" s="415"/>
      <c r="O35" s="467">
        <f t="shared" si="1"/>
        <v>-9</v>
      </c>
      <c r="P35" s="428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  <c r="AK35" s="393"/>
      <c r="AL35" s="393"/>
      <c r="AM35" s="393"/>
    </row>
    <row r="36" spans="1:39" s="120" customFormat="1" ht="20.100000000000001" hidden="1" customHeight="1" outlineLevel="1">
      <c r="A36" s="174" t="s">
        <v>10</v>
      </c>
      <c r="B36" s="469">
        <v>1084</v>
      </c>
      <c r="C36" s="470"/>
      <c r="D36" s="181">
        <f>'[39]1.Фінансовий результат'!D45</f>
        <v>0</v>
      </c>
      <c r="E36" s="181">
        <f>'[43]1.Фінансовий результат'!D45+'[44]1.Фінансовий результат'!K45</f>
        <v>0</v>
      </c>
      <c r="F36" s="181">
        <f>'[41]1.Фінансовий результат'!D39</f>
        <v>0</v>
      </c>
      <c r="G36" s="181">
        <f>'[45]1.Фінансовий результат'!G36</f>
        <v>0</v>
      </c>
      <c r="H36" s="418">
        <f t="shared" si="8"/>
        <v>0</v>
      </c>
      <c r="I36" s="418">
        <f t="shared" si="10"/>
        <v>17.2</v>
      </c>
      <c r="J36" s="181"/>
      <c r="K36" s="181"/>
      <c r="L36" s="181">
        <v>8.6</v>
      </c>
      <c r="M36" s="181">
        <v>8.6</v>
      </c>
      <c r="N36" s="415"/>
      <c r="O36" s="467">
        <f t="shared" si="1"/>
        <v>-17.2</v>
      </c>
      <c r="P36" s="428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  <c r="AJ36" s="393"/>
      <c r="AK36" s="393"/>
      <c r="AL36" s="393"/>
      <c r="AM36" s="393"/>
    </row>
    <row r="37" spans="1:39" s="120" customFormat="1" ht="20.100000000000001" hidden="1" customHeight="1" outlineLevel="1">
      <c r="A37" s="174" t="s">
        <v>11</v>
      </c>
      <c r="B37" s="469">
        <v>1085</v>
      </c>
      <c r="C37" s="268">
        <f>'[46]Факт 2015'!$V$58</f>
        <v>8</v>
      </c>
      <c r="D37" s="181">
        <f>'[39]1.Фінансовий результат'!D46</f>
        <v>0</v>
      </c>
      <c r="E37" s="181">
        <f>'[43]1.Фінансовий результат'!D46+'[44]1.Фінансовий результат'!K46</f>
        <v>0</v>
      </c>
      <c r="F37" s="181">
        <f>'[41]1.Фінансовий результат'!D40</f>
        <v>0</v>
      </c>
      <c r="G37" s="181">
        <f>'[42]1.Фінансовий результат'!H40</f>
        <v>35</v>
      </c>
      <c r="H37" s="418">
        <f>G37-35</f>
        <v>0</v>
      </c>
      <c r="I37" s="181">
        <f t="shared" si="10"/>
        <v>0</v>
      </c>
      <c r="J37" s="181"/>
      <c r="K37" s="181"/>
      <c r="L37" s="181"/>
      <c r="M37" s="181"/>
      <c r="N37" s="415"/>
      <c r="O37" s="467">
        <f t="shared" si="1"/>
        <v>0</v>
      </c>
      <c r="P37" s="428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</row>
    <row r="38" spans="1:39" s="122" customFormat="1" ht="20.100000000000001" hidden="1" customHeight="1" outlineLevel="1">
      <c r="A38" s="174" t="s">
        <v>25</v>
      </c>
      <c r="B38" s="469">
        <v>1086</v>
      </c>
      <c r="C38" s="268"/>
      <c r="D38" s="181">
        <f>'[39]1.Фінансовий результат'!D47</f>
        <v>0</v>
      </c>
      <c r="E38" s="181">
        <f>'[43]1.Фінансовий результат'!D47+'[44]1.Фінансовий результат'!K47</f>
        <v>0</v>
      </c>
      <c r="F38" s="181">
        <f>'[41]1.Фінансовий результат'!D41</f>
        <v>0</v>
      </c>
      <c r="G38" s="181">
        <f>'[42]1.Фінансовий результат'!H41</f>
        <v>0</v>
      </c>
      <c r="H38" s="418">
        <f t="shared" si="8"/>
        <v>0</v>
      </c>
      <c r="I38" s="181">
        <f t="shared" si="10"/>
        <v>23.5</v>
      </c>
      <c r="J38" s="181">
        <v>47.8</v>
      </c>
      <c r="K38" s="181">
        <v>5.5</v>
      </c>
      <c r="L38" s="181">
        <v>7</v>
      </c>
      <c r="M38" s="181">
        <v>5.5</v>
      </c>
      <c r="N38" s="415">
        <v>5.5</v>
      </c>
      <c r="O38" s="467">
        <f t="shared" si="1"/>
        <v>24.299999999999997</v>
      </c>
      <c r="P38" s="428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  <c r="AF38" s="393"/>
      <c r="AG38" s="393"/>
      <c r="AH38" s="393"/>
      <c r="AI38" s="393"/>
      <c r="AJ38" s="393"/>
      <c r="AK38" s="393"/>
      <c r="AL38" s="393"/>
      <c r="AM38" s="393"/>
    </row>
    <row r="39" spans="1:39" s="122" customFormat="1" ht="20.100000000000001" hidden="1" customHeight="1" outlineLevel="1">
      <c r="A39" s="174" t="s">
        <v>26</v>
      </c>
      <c r="B39" s="469">
        <v>1087</v>
      </c>
      <c r="C39" s="268">
        <f>'[38]Факт 2015'!V55</f>
        <v>4.5000000000000009</v>
      </c>
      <c r="D39" s="181">
        <f>'[39]1.Фінансовий результат'!D48</f>
        <v>3.4999999999999996</v>
      </c>
      <c r="E39" s="181">
        <f>'[40]1.Фінансовий результат'!D48</f>
        <v>3.6</v>
      </c>
      <c r="F39" s="181">
        <f>'[41]1.Фінансовий результат'!D42</f>
        <v>2.4000000000000004</v>
      </c>
      <c r="G39" s="181">
        <f>'[42]1.Фінансовий результат'!H42</f>
        <v>4.4000000000000004</v>
      </c>
      <c r="H39" s="418">
        <f t="shared" si="8"/>
        <v>4.4000000000000004</v>
      </c>
      <c r="I39" s="181">
        <f t="shared" si="10"/>
        <v>13.6</v>
      </c>
      <c r="J39" s="181">
        <v>49.800000000000004</v>
      </c>
      <c r="K39" s="181">
        <v>3.4</v>
      </c>
      <c r="L39" s="181">
        <v>3.4</v>
      </c>
      <c r="M39" s="181">
        <v>3.4</v>
      </c>
      <c r="N39" s="415">
        <v>3.4</v>
      </c>
      <c r="O39" s="467">
        <f t="shared" si="1"/>
        <v>36.200000000000003</v>
      </c>
      <c r="P39" s="428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  <c r="AJ39" s="393"/>
      <c r="AK39" s="393"/>
      <c r="AL39" s="393"/>
      <c r="AM39" s="393"/>
    </row>
    <row r="40" spans="1:39" s="122" customFormat="1" hidden="1" collapsed="1">
      <c r="A40" s="174" t="s">
        <v>27</v>
      </c>
      <c r="B40" s="469">
        <v>1088</v>
      </c>
      <c r="C40" s="268">
        <f>'[38]Факт 2015'!V56</f>
        <v>575</v>
      </c>
      <c r="D40" s="181">
        <f>'[39]1.Фінансовий результат'!D49+228.5</f>
        <v>958.9</v>
      </c>
      <c r="E40" s="181">
        <f>'[40]1.Фінансовий результат'!$D$49+321.5</f>
        <v>1253.5</v>
      </c>
      <c r="F40" s="181">
        <f>'[41]1.Фінансовий результат'!D43</f>
        <v>1595</v>
      </c>
      <c r="G40" s="181">
        <f>'[42]1.Фінансовий результат'!H43</f>
        <v>1891.1000000000001</v>
      </c>
      <c r="H40" s="418">
        <f t="shared" si="8"/>
        <v>1891.1000000000001</v>
      </c>
      <c r="I40" s="181">
        <f t="shared" si="10"/>
        <v>1036.0999999999999</v>
      </c>
      <c r="J40" s="181">
        <v>1107.5999999999999</v>
      </c>
      <c r="K40" s="181">
        <v>259</v>
      </c>
      <c r="L40" s="181">
        <v>259</v>
      </c>
      <c r="M40" s="181">
        <v>259</v>
      </c>
      <c r="N40" s="415">
        <v>259.10000000000002</v>
      </c>
      <c r="O40" s="467">
        <f t="shared" si="1"/>
        <v>71.5</v>
      </c>
      <c r="P40" s="540" t="s">
        <v>430</v>
      </c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</row>
    <row r="41" spans="1:39" s="122" customFormat="1" hidden="1">
      <c r="A41" s="174" t="s">
        <v>28</v>
      </c>
      <c r="B41" s="469">
        <v>1089</v>
      </c>
      <c r="C41" s="268">
        <f>'[38]Факт 2015'!V57</f>
        <v>160.9</v>
      </c>
      <c r="D41" s="181">
        <f>'[39]1.Фінансовий результат'!D50+50.7</f>
        <v>180</v>
      </c>
      <c r="E41" s="181">
        <f>'[40]1.Фінансовий результат'!$D$50+71.9</f>
        <v>240.8</v>
      </c>
      <c r="F41" s="181">
        <f>'[41]1.Фінансовий результат'!D44</f>
        <v>286.39999999999998</v>
      </c>
      <c r="G41" s="181">
        <f>'[42]1.Фінансовий результат'!H44</f>
        <v>416</v>
      </c>
      <c r="H41" s="418">
        <f t="shared" si="8"/>
        <v>416</v>
      </c>
      <c r="I41" s="181">
        <f t="shared" si="10"/>
        <v>227.9</v>
      </c>
      <c r="J41" s="181">
        <v>242.10000000000002</v>
      </c>
      <c r="K41" s="181">
        <v>57</v>
      </c>
      <c r="L41" s="181">
        <v>57</v>
      </c>
      <c r="M41" s="181">
        <v>57</v>
      </c>
      <c r="N41" s="415">
        <v>56.9</v>
      </c>
      <c r="O41" s="467">
        <f t="shared" si="1"/>
        <v>14.200000000000017</v>
      </c>
      <c r="P41" s="541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393"/>
      <c r="AD41" s="393"/>
      <c r="AE41" s="393"/>
      <c r="AF41" s="393"/>
      <c r="AG41" s="393"/>
      <c r="AH41" s="393"/>
      <c r="AI41" s="393"/>
      <c r="AJ41" s="393"/>
      <c r="AK41" s="393"/>
      <c r="AL41" s="393"/>
      <c r="AM41" s="393"/>
    </row>
    <row r="42" spans="1:39" s="122" customFormat="1" ht="31.5" hidden="1" outlineLevel="1">
      <c r="A42" s="174" t="s">
        <v>29</v>
      </c>
      <c r="B42" s="469">
        <v>1090</v>
      </c>
      <c r="C42" s="268">
        <f>'[38]Факт 2015'!V58</f>
        <v>8.9000000000000021</v>
      </c>
      <c r="D42" s="181">
        <f>'[39]1.Фінансовий результат'!D51</f>
        <v>10.900000000000002</v>
      </c>
      <c r="E42" s="181">
        <f>'[40]1.Фінансовий результат'!D51</f>
        <v>4.5999999999999996</v>
      </c>
      <c r="F42" s="181">
        <f>'[41]1.Фінансовий результат'!D45</f>
        <v>8.4</v>
      </c>
      <c r="G42" s="181">
        <f>'[42]1.Фінансовий результат'!H45</f>
        <v>7.2</v>
      </c>
      <c r="H42" s="418">
        <f t="shared" si="8"/>
        <v>7.2</v>
      </c>
      <c r="I42" s="181">
        <f t="shared" si="10"/>
        <v>0</v>
      </c>
      <c r="J42" s="181">
        <v>75</v>
      </c>
      <c r="K42" s="181"/>
      <c r="L42" s="181"/>
      <c r="M42" s="181"/>
      <c r="N42" s="415"/>
      <c r="O42" s="467">
        <f t="shared" si="1"/>
        <v>75</v>
      </c>
      <c r="P42" s="428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  <c r="AJ42" s="393"/>
      <c r="AK42" s="393"/>
      <c r="AL42" s="393"/>
      <c r="AM42" s="393"/>
    </row>
    <row r="43" spans="1:39" s="122" customFormat="1" ht="31.5" hidden="1" outlineLevel="1">
      <c r="A43" s="174" t="s">
        <v>30</v>
      </c>
      <c r="B43" s="469">
        <v>1091</v>
      </c>
      <c r="C43" s="268">
        <f>'[38]Факт 2015'!V59</f>
        <v>0</v>
      </c>
      <c r="D43" s="181">
        <f>'[39]1.Фінансовий результат'!D52</f>
        <v>0</v>
      </c>
      <c r="E43" s="181">
        <f>'[40]1.Фінансовий результат'!D52</f>
        <v>0</v>
      </c>
      <c r="F43" s="181">
        <f>'[41]1.Фінансовий результат'!D46</f>
        <v>0</v>
      </c>
      <c r="G43" s="181">
        <f>'[42]1.Фінансовий результат'!H46</f>
        <v>0</v>
      </c>
      <c r="H43" s="418">
        <f t="shared" si="8"/>
        <v>0</v>
      </c>
      <c r="I43" s="181">
        <f t="shared" si="10"/>
        <v>0</v>
      </c>
      <c r="J43" s="181">
        <v>0</v>
      </c>
      <c r="K43" s="181"/>
      <c r="L43" s="181"/>
      <c r="M43" s="181"/>
      <c r="N43" s="415"/>
      <c r="O43" s="467">
        <f t="shared" si="1"/>
        <v>0</v>
      </c>
      <c r="P43" s="428"/>
      <c r="R43" s="393"/>
      <c r="S43" s="393"/>
      <c r="T43" s="393"/>
      <c r="U43" s="393"/>
      <c r="V43" s="393"/>
      <c r="W43" s="393"/>
      <c r="X43" s="393"/>
      <c r="Y43" s="393"/>
      <c r="Z43" s="393"/>
      <c r="AA43" s="393"/>
      <c r="AB43" s="393"/>
      <c r="AC43" s="393"/>
      <c r="AD43" s="393"/>
      <c r="AE43" s="393"/>
      <c r="AF43" s="393"/>
      <c r="AG43" s="393"/>
      <c r="AH43" s="393"/>
      <c r="AI43" s="393"/>
      <c r="AJ43" s="393"/>
      <c r="AK43" s="393"/>
      <c r="AL43" s="393"/>
      <c r="AM43" s="393"/>
    </row>
    <row r="44" spans="1:39" s="122" customFormat="1" ht="31.5" hidden="1" outlineLevel="1">
      <c r="A44" s="174" t="s">
        <v>31</v>
      </c>
      <c r="B44" s="469">
        <v>1092</v>
      </c>
      <c r="C44" s="268">
        <f>'[38]Факт 2015'!V60</f>
        <v>0.4</v>
      </c>
      <c r="D44" s="181">
        <f>'[39]1.Фінансовий результат'!D53</f>
        <v>4.2</v>
      </c>
      <c r="E44" s="181">
        <f>'[40]1.Фінансовий результат'!D53</f>
        <v>5.4</v>
      </c>
      <c r="F44" s="181">
        <f>'[41]1.Фінансовий результат'!D47</f>
        <v>6.4</v>
      </c>
      <c r="G44" s="181">
        <f>'[42]1.Фінансовий результат'!H47</f>
        <v>6</v>
      </c>
      <c r="H44" s="418">
        <f t="shared" si="8"/>
        <v>6</v>
      </c>
      <c r="I44" s="181">
        <f t="shared" si="10"/>
        <v>0</v>
      </c>
      <c r="J44" s="181">
        <v>0</v>
      </c>
      <c r="K44" s="181"/>
      <c r="L44" s="181"/>
      <c r="M44" s="181"/>
      <c r="N44" s="415"/>
      <c r="O44" s="467">
        <f t="shared" si="1"/>
        <v>0</v>
      </c>
      <c r="P44" s="428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  <c r="AF44" s="393"/>
      <c r="AG44" s="393"/>
      <c r="AH44" s="393"/>
      <c r="AI44" s="393"/>
      <c r="AJ44" s="393"/>
      <c r="AK44" s="393"/>
      <c r="AL44" s="393"/>
      <c r="AM44" s="393"/>
    </row>
    <row r="45" spans="1:39" s="122" customFormat="1" hidden="1" outlineLevel="1">
      <c r="A45" s="174" t="s">
        <v>32</v>
      </c>
      <c r="B45" s="469">
        <v>1093</v>
      </c>
      <c r="C45" s="268">
        <f>'[38]Факт 2015'!V61</f>
        <v>0</v>
      </c>
      <c r="D45" s="181">
        <f>'[39]1.Фінансовий результат'!D54</f>
        <v>0</v>
      </c>
      <c r="E45" s="181">
        <f>'[40]1.Фінансовий результат'!D54</f>
        <v>0</v>
      </c>
      <c r="F45" s="181">
        <f>'[41]1.Фінансовий результат'!D48</f>
        <v>0</v>
      </c>
      <c r="G45" s="181">
        <f>'[42]1.Фінансовий результат'!H48</f>
        <v>0</v>
      </c>
      <c r="H45" s="418">
        <f t="shared" si="8"/>
        <v>0</v>
      </c>
      <c r="I45" s="181">
        <f t="shared" si="10"/>
        <v>0</v>
      </c>
      <c r="J45" s="181">
        <v>0</v>
      </c>
      <c r="K45" s="181"/>
      <c r="L45" s="181"/>
      <c r="M45" s="181"/>
      <c r="N45" s="415"/>
      <c r="O45" s="467">
        <f t="shared" si="1"/>
        <v>0</v>
      </c>
      <c r="P45" s="428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3"/>
      <c r="AK45" s="393"/>
      <c r="AL45" s="393"/>
      <c r="AM45" s="393"/>
    </row>
    <row r="46" spans="1:39" s="122" customFormat="1" hidden="1" outlineLevel="1">
      <c r="A46" s="174" t="s">
        <v>439</v>
      </c>
      <c r="B46" s="469">
        <v>1094</v>
      </c>
      <c r="C46" s="268">
        <f>'[38]Факт 2015'!V62</f>
        <v>5.0000000000000009</v>
      </c>
      <c r="D46" s="181">
        <f>'[39]1.Фінансовий результат'!D55</f>
        <v>8.6</v>
      </c>
      <c r="E46" s="181">
        <f>'[40]1.Фінансовий результат'!D55</f>
        <v>6.1000000000000005</v>
      </c>
      <c r="F46" s="181">
        <f>'[41]1.Фінансовий результат'!D49</f>
        <v>12.1</v>
      </c>
      <c r="G46" s="181">
        <f>'[42]1.Фінансовий результат'!H49</f>
        <v>8</v>
      </c>
      <c r="H46" s="418">
        <f t="shared" si="8"/>
        <v>8</v>
      </c>
      <c r="I46" s="181">
        <f t="shared" si="10"/>
        <v>0</v>
      </c>
      <c r="J46" s="181">
        <v>95</v>
      </c>
      <c r="K46" s="181"/>
      <c r="L46" s="181"/>
      <c r="M46" s="181"/>
      <c r="N46" s="415"/>
      <c r="O46" s="467">
        <f t="shared" si="1"/>
        <v>95</v>
      </c>
      <c r="P46" s="428"/>
      <c r="R46" s="393"/>
      <c r="S46" s="393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  <c r="AJ46" s="393"/>
      <c r="AK46" s="393"/>
      <c r="AL46" s="393"/>
      <c r="AM46" s="393"/>
    </row>
    <row r="47" spans="1:39" s="122" customFormat="1" hidden="1" collapsed="1">
      <c r="A47" s="471" t="s">
        <v>54</v>
      </c>
      <c r="B47" s="472">
        <v>1095</v>
      </c>
      <c r="C47" s="473">
        <v>35.9</v>
      </c>
      <c r="D47" s="474">
        <f>'[39]1.Фінансовий результат'!D56</f>
        <v>14.5</v>
      </c>
      <c r="E47" s="474">
        <f>'[40]1.Фінансовий результат'!D56</f>
        <v>4.4000000000000004</v>
      </c>
      <c r="F47" s="181">
        <f>'[41]1.Фінансовий результат'!D50</f>
        <v>10.1</v>
      </c>
      <c r="G47" s="181">
        <f>'[42]1.Фінансовий результат'!H50</f>
        <v>9.6</v>
      </c>
      <c r="H47" s="418">
        <f t="shared" si="8"/>
        <v>9.6</v>
      </c>
      <c r="I47" s="474">
        <f t="shared" si="10"/>
        <v>16</v>
      </c>
      <c r="J47" s="181">
        <v>37.400000000000006</v>
      </c>
      <c r="K47" s="474"/>
      <c r="L47" s="474">
        <v>16</v>
      </c>
      <c r="M47" s="474"/>
      <c r="N47" s="475"/>
      <c r="O47" s="467">
        <f t="shared" si="1"/>
        <v>21.400000000000006</v>
      </c>
      <c r="P47" s="429" t="s">
        <v>440</v>
      </c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  <c r="AJ47" s="393"/>
      <c r="AK47" s="393"/>
      <c r="AL47" s="393"/>
      <c r="AM47" s="393"/>
    </row>
    <row r="48" spans="1:39" s="122" customFormat="1" ht="20.100000000000001" hidden="1" customHeight="1" outlineLevel="1">
      <c r="A48" s="476"/>
      <c r="B48" s="477"/>
      <c r="C48" s="478"/>
      <c r="D48" s="479"/>
      <c r="E48" s="479"/>
      <c r="F48" s="479"/>
      <c r="G48" s="479"/>
      <c r="H48" s="480"/>
      <c r="I48" s="480"/>
      <c r="J48" s="181"/>
      <c r="K48" s="479"/>
      <c r="L48" s="479"/>
      <c r="M48" s="479"/>
      <c r="N48" s="481"/>
      <c r="O48" s="467">
        <f t="shared" si="1"/>
        <v>0</v>
      </c>
      <c r="P48" s="428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</row>
    <row r="49" spans="1:39" s="122" customFormat="1" ht="20.100000000000001" hidden="1" customHeight="1" outlineLevel="1">
      <c r="A49" s="482" t="s">
        <v>34</v>
      </c>
      <c r="B49" s="483">
        <v>1096</v>
      </c>
      <c r="C49" s="484">
        <f>'[38]Факт 2015'!$V$46</f>
        <v>0.5</v>
      </c>
      <c r="D49" s="485">
        <f>'[39]1.Фінансовий результат'!D57</f>
        <v>0</v>
      </c>
      <c r="E49" s="485">
        <f>'[40]1.Фінансовий результат'!D57</f>
        <v>1.2</v>
      </c>
      <c r="F49" s="485">
        <f>'[41]1.Фінансовий результат'!D51</f>
        <v>0</v>
      </c>
      <c r="G49" s="181">
        <f>'[42]1.Фінансовий результат'!H52</f>
        <v>0</v>
      </c>
      <c r="H49" s="418">
        <f t="shared" si="8"/>
        <v>0</v>
      </c>
      <c r="I49" s="485"/>
      <c r="J49" s="181"/>
      <c r="K49" s="485"/>
      <c r="L49" s="485"/>
      <c r="M49" s="485"/>
      <c r="N49" s="486"/>
      <c r="O49" s="467"/>
      <c r="P49" s="428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393"/>
      <c r="AL49" s="393"/>
      <c r="AM49" s="393"/>
    </row>
    <row r="50" spans="1:39" s="122" customFormat="1" ht="20.100000000000001" hidden="1" customHeight="1" outlineLevel="1">
      <c r="A50" s="174" t="s">
        <v>35</v>
      </c>
      <c r="B50" s="469">
        <v>1097</v>
      </c>
      <c r="C50" s="268">
        <f>'[38]Факт 2015'!V65</f>
        <v>1.6</v>
      </c>
      <c r="D50" s="181">
        <f>'[39]1.Фінансовий результат'!D58</f>
        <v>0</v>
      </c>
      <c r="E50" s="181">
        <f>'[40]1.Фінансовий результат'!D58</f>
        <v>0</v>
      </c>
      <c r="F50" s="485">
        <f>'[41]1.Фінансовий результат'!D52</f>
        <v>0</v>
      </c>
      <c r="G50" s="181">
        <f>'[42]1.Фінансовий результат'!H53</f>
        <v>0</v>
      </c>
      <c r="H50" s="418">
        <f t="shared" si="8"/>
        <v>0</v>
      </c>
      <c r="I50" s="181"/>
      <c r="J50" s="181"/>
      <c r="K50" s="181">
        <f>'[47]Фінплан 2017'!Z72</f>
        <v>0</v>
      </c>
      <c r="L50" s="181"/>
      <c r="M50" s="181"/>
      <c r="N50" s="415"/>
      <c r="O50" s="467"/>
      <c r="P50" s="428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  <c r="AC50" s="393"/>
      <c r="AD50" s="393"/>
      <c r="AE50" s="393"/>
      <c r="AF50" s="393"/>
      <c r="AG50" s="393"/>
      <c r="AH50" s="393"/>
      <c r="AI50" s="393"/>
      <c r="AJ50" s="393"/>
      <c r="AK50" s="393"/>
      <c r="AL50" s="393"/>
      <c r="AM50" s="393"/>
    </row>
    <row r="51" spans="1:39" s="122" customFormat="1" hidden="1" outlineLevel="1">
      <c r="A51" s="174" t="s">
        <v>36</v>
      </c>
      <c r="B51" s="469">
        <v>1098</v>
      </c>
      <c r="C51" s="268">
        <f>'[38]Факт 2015'!V66</f>
        <v>0</v>
      </c>
      <c r="D51" s="181">
        <f>'[39]1.Фінансовий результат'!D59</f>
        <v>0</v>
      </c>
      <c r="E51" s="181">
        <f>'[40]1.Фінансовий результат'!D59</f>
        <v>3.2</v>
      </c>
      <c r="F51" s="485">
        <f>'[41]1.Фінансовий результат'!D53</f>
        <v>0</v>
      </c>
      <c r="G51" s="181">
        <f>'[42]1.Фінансовий результат'!H54</f>
        <v>12</v>
      </c>
      <c r="H51" s="418">
        <f>G51+35</f>
        <v>47</v>
      </c>
      <c r="I51" s="474">
        <f t="shared" ref="I51:I52" si="11">SUM(K51:N51)</f>
        <v>8.5</v>
      </c>
      <c r="J51" s="181"/>
      <c r="K51" s="181"/>
      <c r="L51" s="181"/>
      <c r="M51" s="181">
        <v>4.7</v>
      </c>
      <c r="N51" s="415">
        <v>3.8</v>
      </c>
      <c r="O51" s="467"/>
      <c r="P51" s="428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3"/>
      <c r="AK51" s="393"/>
      <c r="AL51" s="393"/>
      <c r="AM51" s="393"/>
    </row>
    <row r="52" spans="1:39" s="122" customFormat="1" hidden="1" outlineLevel="1">
      <c r="A52" s="482" t="s">
        <v>37</v>
      </c>
      <c r="B52" s="483">
        <v>1099</v>
      </c>
      <c r="C52" s="484">
        <f>'[38]Факт 2015'!V67</f>
        <v>0</v>
      </c>
      <c r="D52" s="181">
        <f>'[39]1.Фінансовий результат'!D60</f>
        <v>0</v>
      </c>
      <c r="E52" s="181">
        <f>'[40]1.Фінансовий результат'!D60</f>
        <v>0</v>
      </c>
      <c r="F52" s="485">
        <f>'[41]1.Фінансовий результат'!D54</f>
        <v>0</v>
      </c>
      <c r="G52" s="181">
        <f>'[42]1.Фінансовий результат'!H55</f>
        <v>0</v>
      </c>
      <c r="H52" s="418">
        <f t="shared" si="8"/>
        <v>0</v>
      </c>
      <c r="I52" s="474">
        <f t="shared" si="11"/>
        <v>4.9000000000000004</v>
      </c>
      <c r="J52" s="181"/>
      <c r="K52" s="485">
        <v>0</v>
      </c>
      <c r="L52" s="485"/>
      <c r="M52" s="485">
        <v>4.9000000000000004</v>
      </c>
      <c r="N52" s="486"/>
      <c r="O52" s="467"/>
      <c r="P52" s="428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  <c r="AJ52" s="393"/>
      <c r="AK52" s="393"/>
      <c r="AL52" s="393"/>
      <c r="AM52" s="393"/>
    </row>
    <row r="53" spans="1:39" s="122" customFormat="1" ht="31.5" hidden="1" outlineLevel="1">
      <c r="A53" s="174" t="s">
        <v>67</v>
      </c>
      <c r="B53" s="469">
        <v>1100</v>
      </c>
      <c r="C53" s="268">
        <f>'[38]Факт 2015'!V68</f>
        <v>0</v>
      </c>
      <c r="D53" s="181">
        <f>'[39]1.Фінансовий результат'!D61</f>
        <v>0</v>
      </c>
      <c r="E53" s="181">
        <f>'[40]1.Фінансовий результат'!D61</f>
        <v>0</v>
      </c>
      <c r="F53" s="485">
        <f>'[41]1.Фінансовий результат'!D55</f>
        <v>0</v>
      </c>
      <c r="G53" s="181">
        <f>'[42]1.Фінансовий результат'!H56</f>
        <v>0</v>
      </c>
      <c r="H53" s="418">
        <f t="shared" si="8"/>
        <v>0</v>
      </c>
      <c r="I53" s="181"/>
      <c r="J53" s="181"/>
      <c r="K53" s="181">
        <v>0</v>
      </c>
      <c r="L53" s="181">
        <v>0</v>
      </c>
      <c r="M53" s="181">
        <v>0</v>
      </c>
      <c r="N53" s="415">
        <v>0</v>
      </c>
      <c r="O53" s="467">
        <f t="shared" si="1"/>
        <v>0</v>
      </c>
      <c r="P53" s="428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3"/>
      <c r="AJ53" s="393"/>
      <c r="AK53" s="393"/>
      <c r="AL53" s="393"/>
      <c r="AM53" s="393"/>
    </row>
    <row r="54" spans="1:39" s="122" customFormat="1" ht="20.100000000000001" hidden="1" customHeight="1" outlineLevel="1">
      <c r="A54" s="174" t="s">
        <v>38</v>
      </c>
      <c r="B54" s="469">
        <v>1101</v>
      </c>
      <c r="C54" s="268">
        <f>'[38]Факт 2015'!V69</f>
        <v>0</v>
      </c>
      <c r="D54" s="181">
        <f>'[39]1.Фінансовий результат'!D62</f>
        <v>0</v>
      </c>
      <c r="E54" s="181">
        <f>'[40]1.Фінансовий результат'!D62</f>
        <v>0</v>
      </c>
      <c r="F54" s="485">
        <f>'[41]1.Фінансовий результат'!D56</f>
        <v>0</v>
      </c>
      <c r="G54" s="181">
        <f>'[42]1.Фінансовий результат'!H57</f>
        <v>0</v>
      </c>
      <c r="H54" s="418">
        <f>'[48]1.Фінансовий результат'!D56+'[49]1.Фінансовий результат'!L56+'[49]1.Фінансовий результат'!M56</f>
        <v>0</v>
      </c>
      <c r="I54" s="181"/>
      <c r="J54" s="181"/>
      <c r="K54" s="181">
        <v>0</v>
      </c>
      <c r="L54" s="181">
        <v>0</v>
      </c>
      <c r="M54" s="181">
        <v>0</v>
      </c>
      <c r="N54" s="415">
        <v>0</v>
      </c>
      <c r="O54" s="467">
        <f t="shared" si="1"/>
        <v>0</v>
      </c>
      <c r="P54" s="428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3"/>
      <c r="AK54" s="393"/>
      <c r="AL54" s="393"/>
      <c r="AM54" s="393"/>
    </row>
    <row r="55" spans="1:39" s="122" customFormat="1" hidden="1" collapsed="1">
      <c r="A55" s="174" t="s">
        <v>97</v>
      </c>
      <c r="B55" s="469">
        <v>1102</v>
      </c>
      <c r="C55" s="268">
        <f t="shared" ref="C55:H55" si="12">SUM(C56:C70)</f>
        <v>73</v>
      </c>
      <c r="D55" s="181">
        <f t="shared" si="12"/>
        <v>87.299999999999983</v>
      </c>
      <c r="E55" s="181">
        <f t="shared" si="12"/>
        <v>78</v>
      </c>
      <c r="F55" s="181">
        <f t="shared" si="12"/>
        <v>93.4</v>
      </c>
      <c r="G55" s="181">
        <f t="shared" si="12"/>
        <v>134.10000000000002</v>
      </c>
      <c r="H55" s="181">
        <f t="shared" si="12"/>
        <v>134.10000000000002</v>
      </c>
      <c r="I55" s="181"/>
      <c r="J55" s="181"/>
      <c r="K55" s="181">
        <f>SUM(K56:K70)</f>
        <v>0</v>
      </c>
      <c r="L55" s="181">
        <f>SUM(L56:L70)</f>
        <v>0</v>
      </c>
      <c r="M55" s="181">
        <f>SUM(M56:M70)</f>
        <v>0</v>
      </c>
      <c r="N55" s="415">
        <f>SUM(N56:N70)</f>
        <v>0</v>
      </c>
      <c r="O55" s="467">
        <f t="shared" si="1"/>
        <v>0</v>
      </c>
      <c r="P55" s="428"/>
      <c r="Q55" s="414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  <c r="AK55" s="393"/>
      <c r="AL55" s="393"/>
      <c r="AM55" s="393"/>
    </row>
    <row r="56" spans="1:39" s="408" customFormat="1" ht="20.100000000000001" hidden="1" customHeight="1" outlineLevel="1">
      <c r="A56" s="416" t="s">
        <v>441</v>
      </c>
      <c r="B56" s="465">
        <v>1</v>
      </c>
      <c r="C56" s="267">
        <f>'[38]Факт 2015'!V71</f>
        <v>0</v>
      </c>
      <c r="D56" s="418">
        <f>'[39]1.Фінансовий результат'!D64</f>
        <v>0.1</v>
      </c>
      <c r="E56" s="418">
        <f>'[40]1.Фінансовий результат'!$D$640</f>
        <v>0</v>
      </c>
      <c r="F56" s="487">
        <f>'[41]1.Фінансовий результат'!D58</f>
        <v>0.1</v>
      </c>
      <c r="G56" s="418">
        <f>'[42]1.Фінансовий результат'!H59</f>
        <v>0</v>
      </c>
      <c r="H56" s="418">
        <f>'[48]1.Фінансовий результат'!D58+'[49]1.Фінансовий результат'!L58+'[49]1.Фінансовий результат'!M58</f>
        <v>0</v>
      </c>
      <c r="I56" s="418"/>
      <c r="J56" s="181"/>
      <c r="K56" s="418">
        <v>0</v>
      </c>
      <c r="L56" s="418">
        <v>0</v>
      </c>
      <c r="M56" s="418">
        <v>0</v>
      </c>
      <c r="N56" s="419">
        <v>0</v>
      </c>
      <c r="O56" s="467">
        <f t="shared" si="1"/>
        <v>0</v>
      </c>
      <c r="P56" s="428"/>
      <c r="R56" s="393"/>
      <c r="S56" s="393"/>
      <c r="T56" s="393"/>
      <c r="U56" s="393"/>
      <c r="V56" s="393"/>
      <c r="W56" s="393"/>
      <c r="X56" s="393"/>
      <c r="Y56" s="393"/>
      <c r="Z56" s="393"/>
      <c r="AA56" s="393"/>
      <c r="AB56" s="393"/>
      <c r="AC56" s="393"/>
      <c r="AD56" s="393"/>
      <c r="AE56" s="393"/>
      <c r="AF56" s="393"/>
      <c r="AG56" s="393"/>
      <c r="AH56" s="393"/>
      <c r="AI56" s="393"/>
      <c r="AJ56" s="393"/>
      <c r="AK56" s="393"/>
      <c r="AL56" s="393"/>
      <c r="AM56" s="393"/>
    </row>
    <row r="57" spans="1:39" s="408" customFormat="1" ht="20.100000000000001" hidden="1" customHeight="1" outlineLevel="1">
      <c r="A57" s="416" t="s">
        <v>442</v>
      </c>
      <c r="B57" s="465">
        <v>2</v>
      </c>
      <c r="C57" s="267">
        <f>'[38]Факт 2015'!V72</f>
        <v>9.6999999999999993</v>
      </c>
      <c r="D57" s="418">
        <f>'[39]1.Фінансовий результат'!D65</f>
        <v>14.299999999999999</v>
      </c>
      <c r="E57" s="418">
        <f>'[40]1.Фінансовий результат'!D65</f>
        <v>15.499999999999998</v>
      </c>
      <c r="F57" s="487">
        <f>'[41]1.Фінансовий результат'!D59</f>
        <v>15.2</v>
      </c>
      <c r="G57" s="418">
        <f>'[42]1.Фінансовий результат'!H60</f>
        <v>15.2</v>
      </c>
      <c r="H57" s="418">
        <f t="shared" ref="H57:H70" si="13">G57</f>
        <v>15.2</v>
      </c>
      <c r="I57" s="418"/>
      <c r="J57" s="418"/>
      <c r="K57" s="418"/>
      <c r="L57" s="418"/>
      <c r="M57" s="418"/>
      <c r="N57" s="419"/>
      <c r="O57" s="467">
        <f t="shared" si="1"/>
        <v>0</v>
      </c>
      <c r="P57" s="428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3"/>
      <c r="AK57" s="393"/>
      <c r="AL57" s="393"/>
      <c r="AM57" s="393"/>
    </row>
    <row r="58" spans="1:39" s="408" customFormat="1" ht="31.5" hidden="1" customHeight="1" collapsed="1">
      <c r="A58" s="416" t="s">
        <v>443</v>
      </c>
      <c r="B58" s="465">
        <v>3</v>
      </c>
      <c r="C58" s="267">
        <f>'[38]Факт 2015'!V73</f>
        <v>8.3000000000000007</v>
      </c>
      <c r="D58" s="418">
        <f>'[39]1.Фінансовий результат'!D66</f>
        <v>9.4</v>
      </c>
      <c r="E58" s="418">
        <f>'[40]1.Фінансовий результат'!D66</f>
        <v>10.9</v>
      </c>
      <c r="F58" s="487">
        <f>'[41]1.Фінансовий результат'!D60</f>
        <v>12.7</v>
      </c>
      <c r="G58" s="418">
        <f>'[42]1.Фінансовий результат'!H61</f>
        <v>10.9</v>
      </c>
      <c r="H58" s="418">
        <f t="shared" si="13"/>
        <v>10.9</v>
      </c>
      <c r="I58" s="418"/>
      <c r="J58" s="418"/>
      <c r="K58" s="418"/>
      <c r="L58" s="418"/>
      <c r="M58" s="418"/>
      <c r="N58" s="419"/>
      <c r="O58" s="467">
        <f t="shared" si="1"/>
        <v>0</v>
      </c>
      <c r="P58" s="429" t="s">
        <v>444</v>
      </c>
      <c r="R58" s="393"/>
      <c r="S58" s="393"/>
      <c r="T58" s="393"/>
      <c r="U58" s="393"/>
      <c r="V58" s="393"/>
      <c r="W58" s="393"/>
      <c r="X58" s="393"/>
      <c r="Y58" s="393"/>
      <c r="Z58" s="393"/>
      <c r="AA58" s="393"/>
      <c r="AB58" s="393"/>
      <c r="AC58" s="393"/>
      <c r="AD58" s="393"/>
      <c r="AE58" s="393"/>
      <c r="AF58" s="393"/>
      <c r="AG58" s="393"/>
      <c r="AH58" s="393"/>
      <c r="AI58" s="393"/>
      <c r="AJ58" s="393"/>
      <c r="AK58" s="393"/>
      <c r="AL58" s="393"/>
      <c r="AM58" s="393"/>
    </row>
    <row r="59" spans="1:39" s="408" customFormat="1" ht="20.100000000000001" hidden="1" customHeight="1" outlineLevel="1">
      <c r="A59" s="416" t="s">
        <v>445</v>
      </c>
      <c r="B59" s="465">
        <v>4</v>
      </c>
      <c r="C59" s="267"/>
      <c r="D59" s="418">
        <f>'[39]1.Фінансовий результат'!D67</f>
        <v>0.1</v>
      </c>
      <c r="E59" s="418">
        <f>'[40]1.Фінансовий результат'!D67</f>
        <v>0.1</v>
      </c>
      <c r="F59" s="487">
        <f>'[41]1.Фінансовий результат'!D61</f>
        <v>0</v>
      </c>
      <c r="G59" s="418">
        <f>'[42]1.Фінансовий результат'!H62</f>
        <v>0.1</v>
      </c>
      <c r="H59" s="418">
        <f t="shared" si="13"/>
        <v>0.1</v>
      </c>
      <c r="I59" s="418"/>
      <c r="J59" s="418"/>
      <c r="K59" s="418"/>
      <c r="L59" s="418"/>
      <c r="M59" s="418"/>
      <c r="N59" s="419"/>
      <c r="O59" s="467">
        <f t="shared" si="1"/>
        <v>0</v>
      </c>
      <c r="P59" s="429"/>
      <c r="R59" s="393"/>
      <c r="S59" s="393"/>
      <c r="T59" s="393"/>
      <c r="U59" s="393"/>
      <c r="V59" s="393"/>
      <c r="W59" s="393"/>
      <c r="X59" s="393"/>
      <c r="Y59" s="393"/>
      <c r="Z59" s="393"/>
      <c r="AA59" s="393"/>
      <c r="AB59" s="393"/>
      <c r="AC59" s="393"/>
      <c r="AD59" s="393"/>
      <c r="AE59" s="393"/>
      <c r="AF59" s="393"/>
      <c r="AG59" s="393"/>
      <c r="AH59" s="393"/>
      <c r="AI59" s="393"/>
      <c r="AJ59" s="393"/>
      <c r="AK59" s="393"/>
      <c r="AL59" s="393"/>
      <c r="AM59" s="393"/>
    </row>
    <row r="60" spans="1:39" s="408" customFormat="1" ht="20.100000000000001" hidden="1" customHeight="1" outlineLevel="1">
      <c r="A60" s="416" t="s">
        <v>305</v>
      </c>
      <c r="B60" s="465">
        <v>5</v>
      </c>
      <c r="C60" s="267">
        <v>19.5</v>
      </c>
      <c r="D60" s="418">
        <f>'[39]1.Фінансовий результат'!D68</f>
        <v>40.799999999999997</v>
      </c>
      <c r="E60" s="418">
        <f>'[40]1.Фінансовий результат'!D68</f>
        <v>27.5</v>
      </c>
      <c r="F60" s="487">
        <f>'[41]1.Фінансовий результат'!D62</f>
        <v>17.8</v>
      </c>
      <c r="G60" s="418">
        <f>'[42]1.Фінансовий результат'!H63</f>
        <v>42.400000000000006</v>
      </c>
      <c r="H60" s="418">
        <f t="shared" si="13"/>
        <v>42.400000000000006</v>
      </c>
      <c r="I60" s="418"/>
      <c r="J60" s="418"/>
      <c r="K60" s="418"/>
      <c r="L60" s="418"/>
      <c r="M60" s="418"/>
      <c r="N60" s="419"/>
      <c r="O60" s="467">
        <f t="shared" si="1"/>
        <v>0</v>
      </c>
      <c r="P60" s="429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393"/>
      <c r="AD60" s="393"/>
      <c r="AE60" s="393"/>
      <c r="AF60" s="393"/>
      <c r="AG60" s="393"/>
      <c r="AH60" s="393"/>
      <c r="AI60" s="393"/>
      <c r="AJ60" s="393"/>
      <c r="AK60" s="393"/>
      <c r="AL60" s="393"/>
      <c r="AM60" s="393"/>
    </row>
    <row r="61" spans="1:39" s="408" customFormat="1" ht="20.100000000000001" hidden="1" customHeight="1" outlineLevel="1">
      <c r="A61" s="416" t="s">
        <v>446</v>
      </c>
      <c r="B61" s="465">
        <v>6</v>
      </c>
      <c r="C61" s="267">
        <f>'[38]Факт 2015'!$V$74</f>
        <v>1</v>
      </c>
      <c r="D61" s="418">
        <f>'[39]1.Фінансовий результат'!D69</f>
        <v>0</v>
      </c>
      <c r="E61" s="418">
        <f>'[40]1.Фінансовий результат'!D69</f>
        <v>0</v>
      </c>
      <c r="F61" s="487">
        <f>'[41]1.Фінансовий результат'!D63</f>
        <v>0</v>
      </c>
      <c r="G61" s="418">
        <f>'[42]1.Фінансовий результат'!H64</f>
        <v>0</v>
      </c>
      <c r="H61" s="418">
        <f t="shared" si="13"/>
        <v>0</v>
      </c>
      <c r="I61" s="418"/>
      <c r="J61" s="418"/>
      <c r="K61" s="418"/>
      <c r="L61" s="418"/>
      <c r="M61" s="418"/>
      <c r="N61" s="419"/>
      <c r="O61" s="467">
        <f t="shared" si="1"/>
        <v>0</v>
      </c>
      <c r="P61" s="429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  <c r="AK61" s="393"/>
      <c r="AL61" s="393"/>
      <c r="AM61" s="393"/>
    </row>
    <row r="62" spans="1:39" s="408" customFormat="1" ht="20.100000000000001" hidden="1" customHeight="1" outlineLevel="1">
      <c r="A62" s="488" t="s">
        <v>447</v>
      </c>
      <c r="B62" s="465">
        <v>7</v>
      </c>
      <c r="C62" s="267">
        <f>'[38]Факт 2015'!$V$42</f>
        <v>4.3000000000000007</v>
      </c>
      <c r="D62" s="418">
        <f>'[39]1.Фінансовий результат'!D70</f>
        <v>6.5000000000000009</v>
      </c>
      <c r="E62" s="418">
        <f>'[40]1.Фінансовий результат'!D70</f>
        <v>6.6</v>
      </c>
      <c r="F62" s="487">
        <f>'[41]1.Фінансовий результат'!D64</f>
        <v>2.7</v>
      </c>
      <c r="G62" s="418">
        <f>'[42]1.Фінансовий результат'!H65</f>
        <v>8.4</v>
      </c>
      <c r="H62" s="418">
        <f t="shared" si="13"/>
        <v>8.4</v>
      </c>
      <c r="I62" s="418"/>
      <c r="J62" s="418"/>
      <c r="K62" s="418"/>
      <c r="L62" s="418"/>
      <c r="M62" s="418"/>
      <c r="N62" s="419"/>
      <c r="O62" s="467">
        <f t="shared" si="1"/>
        <v>0</v>
      </c>
      <c r="P62" s="429"/>
      <c r="R62" s="393"/>
      <c r="S62" s="393"/>
      <c r="T62" s="393"/>
      <c r="U62" s="393"/>
      <c r="V62" s="393"/>
      <c r="W62" s="393"/>
      <c r="X62" s="393"/>
      <c r="Y62" s="393"/>
      <c r="Z62" s="393"/>
      <c r="AA62" s="393"/>
      <c r="AB62" s="393"/>
      <c r="AC62" s="393"/>
      <c r="AD62" s="393"/>
      <c r="AE62" s="393"/>
      <c r="AF62" s="393"/>
      <c r="AG62" s="393"/>
      <c r="AH62" s="393"/>
      <c r="AI62" s="393"/>
      <c r="AJ62" s="393"/>
      <c r="AK62" s="393"/>
      <c r="AL62" s="393"/>
      <c r="AM62" s="393"/>
    </row>
    <row r="63" spans="1:39" s="408" customFormat="1" ht="20.100000000000001" hidden="1" customHeight="1" outlineLevel="1">
      <c r="A63" s="488" t="s">
        <v>448</v>
      </c>
      <c r="B63" s="465">
        <v>8</v>
      </c>
      <c r="C63" s="267">
        <f>2.4+0.5</f>
        <v>2.9</v>
      </c>
      <c r="D63" s="418">
        <f>'[39]1.Фінансовий результат'!D71+1.6</f>
        <v>2.7</v>
      </c>
      <c r="E63" s="418">
        <f>'[40]1.Фінансовий результат'!D71+'[40]1.Фінансовий результат'!$D$32</f>
        <v>1.3</v>
      </c>
      <c r="F63" s="487">
        <f>'[41]1.Фінансовий результат'!D65</f>
        <v>2.2000000000000002</v>
      </c>
      <c r="G63" s="418">
        <f>'[42]1.Фінансовий результат'!H66</f>
        <v>4.8</v>
      </c>
      <c r="H63" s="418">
        <f t="shared" si="13"/>
        <v>4.8</v>
      </c>
      <c r="I63" s="418"/>
      <c r="J63" s="418"/>
      <c r="K63" s="418"/>
      <c r="L63" s="418"/>
      <c r="M63" s="418"/>
      <c r="N63" s="419"/>
      <c r="O63" s="467">
        <f t="shared" si="1"/>
        <v>0</v>
      </c>
      <c r="P63" s="429"/>
      <c r="R63" s="393"/>
      <c r="S63" s="393"/>
      <c r="T63" s="393"/>
      <c r="U63" s="393"/>
      <c r="V63" s="393"/>
      <c r="W63" s="393"/>
      <c r="X63" s="393"/>
      <c r="Y63" s="393"/>
      <c r="Z63" s="393"/>
      <c r="AA63" s="393"/>
      <c r="AB63" s="393"/>
      <c r="AC63" s="393"/>
      <c r="AD63" s="393"/>
      <c r="AE63" s="393"/>
      <c r="AF63" s="393"/>
      <c r="AG63" s="393"/>
      <c r="AH63" s="393"/>
      <c r="AI63" s="393"/>
      <c r="AJ63" s="393"/>
      <c r="AK63" s="393"/>
      <c r="AL63" s="393"/>
      <c r="AM63" s="393"/>
    </row>
    <row r="64" spans="1:39" s="408" customFormat="1" ht="36.75" hidden="1" customHeight="1" collapsed="1">
      <c r="A64" s="416" t="s">
        <v>449</v>
      </c>
      <c r="B64" s="465">
        <v>9</v>
      </c>
      <c r="C64" s="267">
        <f>'[38]Факт 2015'!$V$75</f>
        <v>0.5</v>
      </c>
      <c r="D64" s="418">
        <f>'[39]1.Фінансовий результат'!D72</f>
        <v>1.2000000000000002</v>
      </c>
      <c r="E64" s="418">
        <f>'[40]1.Фінансовий результат'!D72</f>
        <v>0.2</v>
      </c>
      <c r="F64" s="487">
        <f>'[41]1.Фінансовий результат'!D66</f>
        <v>1.3</v>
      </c>
      <c r="G64" s="418">
        <f>'[42]1.Фінансовий результат'!H67</f>
        <v>1.6</v>
      </c>
      <c r="H64" s="418">
        <f t="shared" si="13"/>
        <v>1.6</v>
      </c>
      <c r="I64" s="418"/>
      <c r="J64" s="418"/>
      <c r="K64" s="418"/>
      <c r="L64" s="418"/>
      <c r="M64" s="418"/>
      <c r="N64" s="419"/>
      <c r="O64" s="467">
        <f t="shared" si="1"/>
        <v>0</v>
      </c>
      <c r="P64" s="429" t="s">
        <v>450</v>
      </c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393"/>
      <c r="AC64" s="393"/>
      <c r="AD64" s="393"/>
      <c r="AE64" s="393"/>
      <c r="AF64" s="393"/>
      <c r="AG64" s="393"/>
      <c r="AH64" s="393"/>
      <c r="AI64" s="393"/>
      <c r="AJ64" s="393"/>
      <c r="AK64" s="393"/>
      <c r="AL64" s="393"/>
      <c r="AM64" s="393"/>
    </row>
    <row r="65" spans="1:39" s="408" customFormat="1" ht="16.5" hidden="1" outlineLevel="1">
      <c r="A65" s="488" t="s">
        <v>300</v>
      </c>
      <c r="B65" s="465">
        <v>10</v>
      </c>
      <c r="C65" s="267">
        <v>1.0999999999999999</v>
      </c>
      <c r="D65" s="418">
        <v>1.2</v>
      </c>
      <c r="E65" s="418">
        <f>'[40]1.Фінансовий результат'!D28</f>
        <v>1.4</v>
      </c>
      <c r="F65" s="487">
        <f>'[41]1.Фінансовий результат'!D67</f>
        <v>1.1000000000000001</v>
      </c>
      <c r="G65" s="418">
        <f>'[42]1.Фінансовий результат'!H68</f>
        <v>4</v>
      </c>
      <c r="H65" s="418">
        <f t="shared" si="13"/>
        <v>4</v>
      </c>
      <c r="I65" s="418"/>
      <c r="J65" s="418"/>
      <c r="K65" s="418"/>
      <c r="L65" s="418"/>
      <c r="M65" s="418"/>
      <c r="N65" s="419"/>
      <c r="O65" s="467">
        <f t="shared" si="1"/>
        <v>0</v>
      </c>
      <c r="P65" s="428"/>
      <c r="R65" s="393"/>
      <c r="S65" s="393"/>
      <c r="T65" s="393"/>
      <c r="U65" s="393"/>
      <c r="V65" s="393"/>
      <c r="W65" s="393"/>
      <c r="X65" s="393"/>
      <c r="Y65" s="393"/>
      <c r="Z65" s="393"/>
      <c r="AA65" s="393"/>
      <c r="AB65" s="393"/>
      <c r="AC65" s="393"/>
      <c r="AD65" s="393"/>
      <c r="AE65" s="393"/>
      <c r="AF65" s="393"/>
      <c r="AG65" s="393"/>
      <c r="AH65" s="393"/>
      <c r="AI65" s="393"/>
      <c r="AJ65" s="393"/>
      <c r="AK65" s="393"/>
      <c r="AL65" s="393"/>
      <c r="AM65" s="393"/>
    </row>
    <row r="66" spans="1:39" s="408" customFormat="1" ht="16.5" hidden="1" outlineLevel="1">
      <c r="A66" s="488" t="s">
        <v>451</v>
      </c>
      <c r="B66" s="465">
        <v>11</v>
      </c>
      <c r="C66" s="267">
        <v>1</v>
      </c>
      <c r="D66" s="418">
        <v>1</v>
      </c>
      <c r="E66" s="418">
        <f>'[40]1.Фінансовий результат'!D29</f>
        <v>1.5</v>
      </c>
      <c r="F66" s="487">
        <f>'[41]1.Фінансовий результат'!D68</f>
        <v>1.7</v>
      </c>
      <c r="G66" s="418">
        <f>'[42]1.Фінансовий результат'!H69</f>
        <v>2</v>
      </c>
      <c r="H66" s="418">
        <f t="shared" si="13"/>
        <v>2</v>
      </c>
      <c r="I66" s="418"/>
      <c r="J66" s="418"/>
      <c r="K66" s="418"/>
      <c r="L66" s="418"/>
      <c r="M66" s="418"/>
      <c r="N66" s="419"/>
      <c r="O66" s="467">
        <f t="shared" si="1"/>
        <v>0</v>
      </c>
      <c r="P66" s="428"/>
      <c r="R66" s="393"/>
      <c r="S66" s="393"/>
      <c r="T66" s="393"/>
      <c r="U66" s="393"/>
      <c r="V66" s="393"/>
      <c r="W66" s="393"/>
      <c r="X66" s="393"/>
      <c r="Y66" s="393"/>
      <c r="Z66" s="393"/>
      <c r="AA66" s="393"/>
      <c r="AB66" s="393"/>
      <c r="AC66" s="393"/>
      <c r="AD66" s="393"/>
      <c r="AE66" s="393"/>
      <c r="AF66" s="393"/>
      <c r="AG66" s="393"/>
      <c r="AH66" s="393"/>
      <c r="AI66" s="393"/>
      <c r="AJ66" s="393"/>
      <c r="AK66" s="393"/>
      <c r="AL66" s="393"/>
      <c r="AM66" s="393"/>
    </row>
    <row r="67" spans="1:39" s="408" customFormat="1" ht="16.5" hidden="1" outlineLevel="1">
      <c r="A67" s="488" t="s">
        <v>452</v>
      </c>
      <c r="B67" s="465">
        <v>12</v>
      </c>
      <c r="C67" s="267">
        <v>0</v>
      </c>
      <c r="D67" s="418">
        <v>0</v>
      </c>
      <c r="E67" s="418">
        <f>'[40]1.Фінансовий результат'!D31</f>
        <v>0</v>
      </c>
      <c r="F67" s="487">
        <f>'[41]1.Фінансовий результат'!D69</f>
        <v>0</v>
      </c>
      <c r="G67" s="418">
        <f>'[42]1.Фінансовий результат'!H70</f>
        <v>3.5</v>
      </c>
      <c r="H67" s="418">
        <f t="shared" si="13"/>
        <v>3.5</v>
      </c>
      <c r="I67" s="418"/>
      <c r="J67" s="418"/>
      <c r="K67" s="418"/>
      <c r="L67" s="418"/>
      <c r="M67" s="418"/>
      <c r="N67" s="419"/>
      <c r="O67" s="467">
        <f t="shared" si="1"/>
        <v>0</v>
      </c>
      <c r="P67" s="428"/>
      <c r="R67" s="393"/>
      <c r="S67" s="393"/>
      <c r="T67" s="393"/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  <c r="AJ67" s="393"/>
      <c r="AK67" s="393"/>
      <c r="AL67" s="393"/>
      <c r="AM67" s="393"/>
    </row>
    <row r="68" spans="1:39" s="408" customFormat="1" ht="16.5" hidden="1" collapsed="1">
      <c r="A68" s="488" t="s">
        <v>453</v>
      </c>
      <c r="B68" s="465">
        <v>13</v>
      </c>
      <c r="C68" s="267">
        <v>13.700000000000001</v>
      </c>
      <c r="D68" s="418">
        <v>0.60000000000000009</v>
      </c>
      <c r="E68" s="418">
        <f>'[40]1.Фінансовий результат'!D33</f>
        <v>1.9</v>
      </c>
      <c r="F68" s="487">
        <f>'[41]1.Фінансовий результат'!D70</f>
        <v>23.7</v>
      </c>
      <c r="G68" s="418">
        <f>'[42]1.Фінансовий результат'!H71</f>
        <v>20.399999999999999</v>
      </c>
      <c r="H68" s="418">
        <f t="shared" si="13"/>
        <v>20.399999999999999</v>
      </c>
      <c r="I68" s="418"/>
      <c r="J68" s="418"/>
      <c r="K68" s="418"/>
      <c r="L68" s="418"/>
      <c r="M68" s="418"/>
      <c r="N68" s="419"/>
      <c r="O68" s="467">
        <f t="shared" si="1"/>
        <v>0</v>
      </c>
      <c r="P68" s="428" t="s">
        <v>454</v>
      </c>
      <c r="R68" s="393"/>
      <c r="S68" s="393"/>
      <c r="T68" s="393"/>
      <c r="U68" s="393"/>
      <c r="V68" s="393"/>
      <c r="W68" s="393"/>
      <c r="X68" s="393"/>
      <c r="Y68" s="393"/>
      <c r="Z68" s="393"/>
      <c r="AA68" s="393"/>
      <c r="AB68" s="393"/>
      <c r="AC68" s="393"/>
      <c r="AD68" s="393"/>
      <c r="AE68" s="393"/>
      <c r="AF68" s="393"/>
      <c r="AG68" s="393"/>
      <c r="AH68" s="393"/>
      <c r="AI68" s="393"/>
      <c r="AJ68" s="393"/>
      <c r="AK68" s="393"/>
      <c r="AL68" s="393"/>
      <c r="AM68" s="393"/>
    </row>
    <row r="69" spans="1:39" s="408" customFormat="1" ht="16.5" hidden="1" outlineLevel="1">
      <c r="A69" s="488" t="s">
        <v>455</v>
      </c>
      <c r="B69" s="465">
        <v>14</v>
      </c>
      <c r="C69" s="267">
        <v>3.0999999999999996</v>
      </c>
      <c r="D69" s="418">
        <v>1.0999999999999999</v>
      </c>
      <c r="E69" s="418">
        <f>'[40]1.Фінансовий результат'!D34</f>
        <v>2.6</v>
      </c>
      <c r="F69" s="487">
        <f>'[41]1.Фінансовий результат'!D71</f>
        <v>4</v>
      </c>
      <c r="G69" s="418">
        <f>'[42]1.Фінансовий результат'!H72</f>
        <v>8.8000000000000007</v>
      </c>
      <c r="H69" s="418">
        <f t="shared" si="13"/>
        <v>8.8000000000000007</v>
      </c>
      <c r="I69" s="418"/>
      <c r="J69" s="418"/>
      <c r="K69" s="418"/>
      <c r="L69" s="418"/>
      <c r="M69" s="418"/>
      <c r="N69" s="419"/>
      <c r="O69" s="467">
        <f t="shared" si="1"/>
        <v>0</v>
      </c>
      <c r="P69" s="428"/>
      <c r="R69" s="393"/>
      <c r="S69" s="393"/>
      <c r="T69" s="393"/>
      <c r="U69" s="393"/>
      <c r="V69" s="393"/>
      <c r="W69" s="393"/>
      <c r="X69" s="393"/>
      <c r="Y69" s="393"/>
      <c r="Z69" s="393"/>
      <c r="AA69" s="393"/>
      <c r="AB69" s="393"/>
      <c r="AC69" s="393"/>
      <c r="AD69" s="393"/>
      <c r="AE69" s="393"/>
      <c r="AF69" s="393"/>
      <c r="AG69" s="393"/>
      <c r="AH69" s="393"/>
      <c r="AI69" s="393"/>
      <c r="AJ69" s="393"/>
      <c r="AK69" s="393"/>
      <c r="AL69" s="393"/>
      <c r="AM69" s="393"/>
    </row>
    <row r="70" spans="1:39" s="408" customFormat="1" ht="16.5" hidden="1" outlineLevel="1">
      <c r="A70" s="488" t="s">
        <v>456</v>
      </c>
      <c r="B70" s="465">
        <v>15</v>
      </c>
      <c r="C70" s="267">
        <v>7.8999999999999995</v>
      </c>
      <c r="D70" s="418">
        <v>8.3000000000000007</v>
      </c>
      <c r="E70" s="418">
        <f>'[40]1.Фінансовий результат'!D35</f>
        <v>8.5</v>
      </c>
      <c r="F70" s="487">
        <f>'[41]1.Фінансовий результат'!D72</f>
        <v>10.899999999999999</v>
      </c>
      <c r="G70" s="418">
        <f>'[42]1.Фінансовий результат'!H73</f>
        <v>12</v>
      </c>
      <c r="H70" s="418">
        <f t="shared" si="13"/>
        <v>12</v>
      </c>
      <c r="I70" s="418"/>
      <c r="J70" s="418"/>
      <c r="K70" s="418"/>
      <c r="L70" s="418"/>
      <c r="M70" s="418"/>
      <c r="N70" s="419"/>
      <c r="O70" s="467">
        <f t="shared" si="1"/>
        <v>0</v>
      </c>
      <c r="P70" s="428"/>
      <c r="R70" s="393"/>
      <c r="S70" s="393"/>
      <c r="T70" s="393"/>
      <c r="U70" s="393"/>
      <c r="V70" s="393"/>
      <c r="W70" s="393"/>
      <c r="X70" s="393"/>
      <c r="Y70" s="393"/>
      <c r="Z70" s="393"/>
      <c r="AA70" s="393"/>
      <c r="AB70" s="393"/>
      <c r="AC70" s="393"/>
      <c r="AD70" s="393"/>
      <c r="AE70" s="393"/>
      <c r="AF70" s="393"/>
      <c r="AG70" s="393"/>
      <c r="AH70" s="393"/>
      <c r="AI70" s="393"/>
      <c r="AJ70" s="393"/>
      <c r="AK70" s="393"/>
      <c r="AL70" s="393"/>
      <c r="AM70" s="393"/>
    </row>
    <row r="71" spans="1:39" s="120" customFormat="1" ht="20.100000000000001" hidden="1" customHeight="1" outlineLevel="1">
      <c r="A71" s="443" t="s">
        <v>182</v>
      </c>
      <c r="B71" s="444">
        <v>1110</v>
      </c>
      <c r="C71" s="445">
        <f t="shared" ref="C71:N71" si="14">SUM(C72:C77)</f>
        <v>0</v>
      </c>
      <c r="D71" s="446">
        <f t="shared" si="14"/>
        <v>0</v>
      </c>
      <c r="E71" s="446">
        <f t="shared" si="14"/>
        <v>0</v>
      </c>
      <c r="F71" s="446">
        <f t="shared" si="14"/>
        <v>0</v>
      </c>
      <c r="G71" s="446">
        <f t="shared" si="14"/>
        <v>0</v>
      </c>
      <c r="H71" s="446">
        <f t="shared" si="14"/>
        <v>0</v>
      </c>
      <c r="I71" s="446"/>
      <c r="J71" s="181"/>
      <c r="K71" s="446">
        <f t="shared" si="14"/>
        <v>0</v>
      </c>
      <c r="L71" s="446">
        <f t="shared" si="14"/>
        <v>0</v>
      </c>
      <c r="M71" s="446">
        <f t="shared" si="14"/>
        <v>0</v>
      </c>
      <c r="N71" s="447">
        <f t="shared" si="14"/>
        <v>0</v>
      </c>
      <c r="O71" s="467">
        <f t="shared" si="1"/>
        <v>0</v>
      </c>
      <c r="P71" s="428"/>
      <c r="R71" s="393"/>
      <c r="S71" s="393"/>
      <c r="T71" s="393"/>
      <c r="U71" s="393"/>
      <c r="V71" s="393"/>
      <c r="W71" s="393"/>
      <c r="X71" s="393"/>
      <c r="Y71" s="393"/>
      <c r="Z71" s="393"/>
      <c r="AA71" s="393"/>
      <c r="AB71" s="393"/>
      <c r="AC71" s="393"/>
      <c r="AD71" s="393"/>
      <c r="AE71" s="393"/>
      <c r="AF71" s="393"/>
      <c r="AG71" s="393"/>
      <c r="AH71" s="393"/>
      <c r="AI71" s="393"/>
      <c r="AJ71" s="393"/>
      <c r="AK71" s="393"/>
      <c r="AL71" s="393"/>
      <c r="AM71" s="393"/>
    </row>
    <row r="72" spans="1:39" s="122" customFormat="1" ht="20.100000000000001" hidden="1" customHeight="1" outlineLevel="1">
      <c r="A72" s="174" t="s">
        <v>154</v>
      </c>
      <c r="B72" s="469">
        <v>1111</v>
      </c>
      <c r="C72" s="268"/>
      <c r="D72" s="181">
        <f>'[39]1.Фінансовий результат'!D74</f>
        <v>0</v>
      </c>
      <c r="E72" s="181"/>
      <c r="F72" s="487">
        <f>'[41]1.Фінансовий результат'!D74</f>
        <v>0</v>
      </c>
      <c r="G72" s="418">
        <f>'[42]1.Фінансовий результат'!H75</f>
        <v>0</v>
      </c>
      <c r="H72" s="418">
        <f t="shared" ref="H72:H77" si="15">G72</f>
        <v>0</v>
      </c>
      <c r="I72" s="418"/>
      <c r="J72" s="181"/>
      <c r="K72" s="181"/>
      <c r="L72" s="181"/>
      <c r="M72" s="181"/>
      <c r="N72" s="415"/>
      <c r="O72" s="467">
        <f t="shared" ref="O72:O118" si="16">J72-I72</f>
        <v>0</v>
      </c>
      <c r="P72" s="428"/>
      <c r="R72" s="393"/>
      <c r="S72" s="393"/>
      <c r="T72" s="393"/>
      <c r="U72" s="393"/>
      <c r="V72" s="393"/>
      <c r="W72" s="393"/>
      <c r="X72" s="393"/>
      <c r="Y72" s="393"/>
      <c r="Z72" s="393"/>
      <c r="AA72" s="393"/>
      <c r="AB72" s="393"/>
      <c r="AC72" s="393"/>
      <c r="AD72" s="393"/>
      <c r="AE72" s="393"/>
      <c r="AF72" s="393"/>
      <c r="AG72" s="393"/>
      <c r="AH72" s="393"/>
      <c r="AI72" s="393"/>
      <c r="AJ72" s="393"/>
      <c r="AK72" s="393"/>
      <c r="AL72" s="393"/>
      <c r="AM72" s="393"/>
    </row>
    <row r="73" spans="1:39" s="122" customFormat="1" ht="20.100000000000001" hidden="1" customHeight="1" outlineLevel="1">
      <c r="A73" s="174" t="s">
        <v>457</v>
      </c>
      <c r="B73" s="469">
        <v>1112</v>
      </c>
      <c r="C73" s="268"/>
      <c r="D73" s="181">
        <f>'[39]1.Фінансовий результат'!D75</f>
        <v>0</v>
      </c>
      <c r="E73" s="181"/>
      <c r="F73" s="487">
        <f>'[41]1.Фінансовий результат'!D75</f>
        <v>0</v>
      </c>
      <c r="G73" s="418">
        <f>'[42]1.Фінансовий результат'!H76</f>
        <v>0</v>
      </c>
      <c r="H73" s="418">
        <f t="shared" si="15"/>
        <v>0</v>
      </c>
      <c r="I73" s="418"/>
      <c r="J73" s="181"/>
      <c r="K73" s="181"/>
      <c r="L73" s="181"/>
      <c r="M73" s="181"/>
      <c r="N73" s="415"/>
      <c r="O73" s="467">
        <f t="shared" si="16"/>
        <v>0</v>
      </c>
      <c r="P73" s="428"/>
      <c r="R73" s="393"/>
      <c r="S73" s="393"/>
      <c r="T73" s="393"/>
      <c r="U73" s="393"/>
      <c r="V73" s="393"/>
      <c r="W73" s="393"/>
      <c r="X73" s="393"/>
      <c r="Y73" s="393"/>
      <c r="Z73" s="393"/>
      <c r="AA73" s="393"/>
      <c r="AB73" s="393"/>
      <c r="AC73" s="393"/>
      <c r="AD73" s="393"/>
      <c r="AE73" s="393"/>
      <c r="AF73" s="393"/>
      <c r="AG73" s="393"/>
      <c r="AH73" s="393"/>
      <c r="AI73" s="393"/>
      <c r="AJ73" s="393"/>
      <c r="AK73" s="393"/>
      <c r="AL73" s="393"/>
      <c r="AM73" s="393"/>
    </row>
    <row r="74" spans="1:39" s="122" customFormat="1" ht="20.100000000000001" hidden="1" customHeight="1" outlineLevel="1">
      <c r="A74" s="174" t="s">
        <v>27</v>
      </c>
      <c r="B74" s="469">
        <v>1113</v>
      </c>
      <c r="C74" s="268"/>
      <c r="D74" s="181">
        <f>'[39]1.Фінансовий результат'!D76</f>
        <v>0</v>
      </c>
      <c r="E74" s="181"/>
      <c r="F74" s="487">
        <f>'[41]1.Фінансовий результат'!D76</f>
        <v>0</v>
      </c>
      <c r="G74" s="418">
        <f>'[42]1.Фінансовий результат'!H77</f>
        <v>0</v>
      </c>
      <c r="H74" s="418">
        <f t="shared" si="15"/>
        <v>0</v>
      </c>
      <c r="I74" s="418"/>
      <c r="J74" s="181"/>
      <c r="K74" s="181"/>
      <c r="L74" s="181"/>
      <c r="M74" s="181"/>
      <c r="N74" s="415"/>
      <c r="O74" s="467">
        <f t="shared" si="16"/>
        <v>0</v>
      </c>
      <c r="P74" s="428"/>
      <c r="R74" s="393"/>
      <c r="S74" s="393"/>
      <c r="T74" s="393"/>
      <c r="U74" s="393"/>
      <c r="V74" s="393"/>
      <c r="W74" s="393"/>
      <c r="X74" s="393"/>
      <c r="Y74" s="393"/>
      <c r="Z74" s="393"/>
      <c r="AA74" s="393"/>
      <c r="AB74" s="393"/>
      <c r="AC74" s="393"/>
      <c r="AD74" s="393"/>
      <c r="AE74" s="393"/>
      <c r="AF74" s="393"/>
      <c r="AG74" s="393"/>
      <c r="AH74" s="393"/>
      <c r="AI74" s="393"/>
      <c r="AJ74" s="393"/>
      <c r="AK74" s="393"/>
      <c r="AL74" s="393"/>
      <c r="AM74" s="393"/>
    </row>
    <row r="75" spans="1:39" s="122" customFormat="1" hidden="1" outlineLevel="1">
      <c r="A75" s="174" t="s">
        <v>51</v>
      </c>
      <c r="B75" s="469">
        <v>1114</v>
      </c>
      <c r="C75" s="268"/>
      <c r="D75" s="181">
        <f>'[39]1.Фінансовий результат'!D77</f>
        <v>0</v>
      </c>
      <c r="E75" s="181"/>
      <c r="F75" s="487">
        <f>'[41]1.Фінансовий результат'!D77</f>
        <v>0</v>
      </c>
      <c r="G75" s="418">
        <f>'[42]1.Фінансовий результат'!H78</f>
        <v>0</v>
      </c>
      <c r="H75" s="418">
        <f t="shared" si="15"/>
        <v>0</v>
      </c>
      <c r="I75" s="418"/>
      <c r="J75" s="181"/>
      <c r="K75" s="181"/>
      <c r="L75" s="181"/>
      <c r="M75" s="181"/>
      <c r="N75" s="415"/>
      <c r="O75" s="467">
        <f t="shared" si="16"/>
        <v>0</v>
      </c>
      <c r="P75" s="428"/>
      <c r="R75" s="393"/>
      <c r="S75" s="393"/>
      <c r="T75" s="393"/>
      <c r="U75" s="393"/>
      <c r="V75" s="393"/>
      <c r="W75" s="393"/>
      <c r="X75" s="393"/>
      <c r="Y75" s="393"/>
      <c r="Z75" s="393"/>
      <c r="AA75" s="393"/>
      <c r="AB75" s="393"/>
      <c r="AC75" s="393"/>
      <c r="AD75" s="393"/>
      <c r="AE75" s="393"/>
      <c r="AF75" s="393"/>
      <c r="AG75" s="393"/>
      <c r="AH75" s="393"/>
      <c r="AI75" s="393"/>
      <c r="AJ75" s="393"/>
      <c r="AK75" s="393"/>
      <c r="AL75" s="393"/>
      <c r="AM75" s="393"/>
    </row>
    <row r="76" spans="1:39" s="122" customFormat="1" ht="20.100000000000001" hidden="1" customHeight="1" outlineLevel="1">
      <c r="A76" s="174" t="s">
        <v>70</v>
      </c>
      <c r="B76" s="469">
        <v>1115</v>
      </c>
      <c r="C76" s="268"/>
      <c r="D76" s="181">
        <f>'[39]1.Фінансовий результат'!D78</f>
        <v>0</v>
      </c>
      <c r="E76" s="181"/>
      <c r="F76" s="487">
        <f>'[41]1.Фінансовий результат'!D78</f>
        <v>0</v>
      </c>
      <c r="G76" s="418">
        <f>'[42]1.Фінансовий результат'!H79</f>
        <v>0</v>
      </c>
      <c r="H76" s="418">
        <f t="shared" si="15"/>
        <v>0</v>
      </c>
      <c r="I76" s="418"/>
      <c r="J76" s="181"/>
      <c r="K76" s="181"/>
      <c r="L76" s="181"/>
      <c r="M76" s="181"/>
      <c r="N76" s="415"/>
      <c r="O76" s="467">
        <f t="shared" si="16"/>
        <v>0</v>
      </c>
      <c r="P76" s="428"/>
      <c r="R76" s="393"/>
      <c r="S76" s="393"/>
      <c r="T76" s="393"/>
      <c r="U76" s="393"/>
      <c r="V76" s="393"/>
      <c r="W76" s="393"/>
      <c r="X76" s="393"/>
      <c r="Y76" s="393"/>
      <c r="Z76" s="393"/>
      <c r="AA76" s="393"/>
      <c r="AB76" s="393"/>
      <c r="AC76" s="393"/>
      <c r="AD76" s="393"/>
      <c r="AE76" s="393"/>
      <c r="AF76" s="393"/>
      <c r="AG76" s="393"/>
      <c r="AH76" s="393"/>
      <c r="AI76" s="393"/>
      <c r="AJ76" s="393"/>
      <c r="AK76" s="393"/>
      <c r="AL76" s="393"/>
      <c r="AM76" s="393"/>
    </row>
    <row r="77" spans="1:39" s="122" customFormat="1" ht="20.100000000000001" hidden="1" customHeight="1" outlineLevel="1">
      <c r="A77" s="174" t="s">
        <v>110</v>
      </c>
      <c r="B77" s="469">
        <v>1116</v>
      </c>
      <c r="C77" s="268"/>
      <c r="D77" s="181">
        <f>'[39]1.Фінансовий результат'!D79</f>
        <v>0</v>
      </c>
      <c r="E77" s="181"/>
      <c r="F77" s="487">
        <f>'[41]1.Фінансовий результат'!D79</f>
        <v>0</v>
      </c>
      <c r="G77" s="418">
        <f>'[42]1.Фінансовий результат'!H80</f>
        <v>0</v>
      </c>
      <c r="H77" s="418">
        <f t="shared" si="15"/>
        <v>0</v>
      </c>
      <c r="I77" s="418"/>
      <c r="J77" s="181"/>
      <c r="K77" s="181"/>
      <c r="L77" s="181"/>
      <c r="M77" s="181"/>
      <c r="N77" s="415"/>
      <c r="O77" s="467">
        <f t="shared" si="16"/>
        <v>0</v>
      </c>
      <c r="P77" s="428"/>
      <c r="Q77" s="405"/>
      <c r="R77" s="393"/>
      <c r="S77" s="393"/>
      <c r="T77" s="393"/>
      <c r="U77" s="393"/>
      <c r="V77" s="393"/>
      <c r="W77" s="393"/>
      <c r="X77" s="393"/>
      <c r="Y77" s="393"/>
      <c r="Z77" s="393"/>
      <c r="AA77" s="393"/>
      <c r="AB77" s="393"/>
      <c r="AC77" s="393"/>
      <c r="AD77" s="393"/>
      <c r="AE77" s="393"/>
      <c r="AF77" s="393"/>
      <c r="AG77" s="393"/>
      <c r="AH77" s="393"/>
      <c r="AI77" s="393"/>
      <c r="AJ77" s="393"/>
      <c r="AK77" s="393"/>
      <c r="AL77" s="393"/>
      <c r="AM77" s="393"/>
    </row>
    <row r="78" spans="1:39" s="122" customFormat="1" hidden="1" outlineLevel="1">
      <c r="A78" s="489" t="s">
        <v>71</v>
      </c>
      <c r="B78" s="444">
        <v>1120</v>
      </c>
      <c r="C78" s="445">
        <f t="shared" ref="C78:M78" si="17">SUM(C79:C83)</f>
        <v>939.5</v>
      </c>
      <c r="D78" s="446">
        <f t="shared" si="17"/>
        <v>1563</v>
      </c>
      <c r="E78" s="446">
        <f t="shared" si="17"/>
        <v>2211.7000000000003</v>
      </c>
      <c r="F78" s="446">
        <f t="shared" si="17"/>
        <v>2982.7999999999993</v>
      </c>
      <c r="G78" s="446">
        <f t="shared" si="17"/>
        <v>3355.9</v>
      </c>
      <c r="H78" s="446">
        <f t="shared" si="17"/>
        <v>3355.9</v>
      </c>
      <c r="I78" s="446"/>
      <c r="J78" s="446"/>
      <c r="K78" s="446">
        <f t="shared" si="17"/>
        <v>0</v>
      </c>
      <c r="L78" s="446">
        <f t="shared" si="17"/>
        <v>0</v>
      </c>
      <c r="M78" s="446">
        <f t="shared" si="17"/>
        <v>0</v>
      </c>
      <c r="N78" s="447">
        <f>SUM(N79:N83)</f>
        <v>0</v>
      </c>
      <c r="O78" s="467">
        <f t="shared" si="16"/>
        <v>0</v>
      </c>
      <c r="P78" s="428"/>
      <c r="Q78" s="405"/>
      <c r="R78" s="393"/>
      <c r="S78" s="393"/>
      <c r="T78" s="393"/>
      <c r="U78" s="393"/>
      <c r="V78" s="393"/>
      <c r="W78" s="393"/>
      <c r="X78" s="393"/>
      <c r="Y78" s="393"/>
      <c r="Z78" s="393"/>
      <c r="AA78" s="393"/>
      <c r="AB78" s="393"/>
      <c r="AC78" s="393"/>
      <c r="AD78" s="393"/>
      <c r="AE78" s="393"/>
      <c r="AF78" s="393"/>
      <c r="AG78" s="393"/>
      <c r="AH78" s="393"/>
      <c r="AI78" s="393"/>
      <c r="AJ78" s="393"/>
      <c r="AK78" s="393"/>
      <c r="AL78" s="393"/>
      <c r="AM78" s="393"/>
    </row>
    <row r="79" spans="1:39" s="122" customFormat="1" ht="20.100000000000001" hidden="1" customHeight="1" outlineLevel="1">
      <c r="A79" s="174" t="s">
        <v>59</v>
      </c>
      <c r="B79" s="469">
        <v>1121</v>
      </c>
      <c r="C79" s="268"/>
      <c r="D79" s="181">
        <f>'[39]1.Фінансовий результат'!D81</f>
        <v>0</v>
      </c>
      <c r="E79" s="181"/>
      <c r="F79" s="487">
        <f>'[41]1.Фінансовий результат'!D81</f>
        <v>0</v>
      </c>
      <c r="G79" s="418">
        <f>'[42]1.Фінансовий результат'!H82</f>
        <v>0</v>
      </c>
      <c r="H79" s="418">
        <f t="shared" ref="H79:H82" si="18">G79</f>
        <v>0</v>
      </c>
      <c r="I79" s="418"/>
      <c r="J79" s="181"/>
      <c r="K79" s="181"/>
      <c r="L79" s="181"/>
      <c r="M79" s="181"/>
      <c r="N79" s="415"/>
      <c r="O79" s="467">
        <f t="shared" si="16"/>
        <v>0</v>
      </c>
      <c r="P79" s="428"/>
      <c r="Q79" s="405"/>
      <c r="R79" s="393"/>
      <c r="S79" s="393"/>
      <c r="T79" s="393"/>
      <c r="U79" s="393"/>
      <c r="V79" s="393"/>
      <c r="W79" s="393"/>
      <c r="X79" s="393"/>
      <c r="Y79" s="393"/>
      <c r="Z79" s="393"/>
      <c r="AA79" s="393"/>
      <c r="AB79" s="393"/>
      <c r="AC79" s="393"/>
      <c r="AD79" s="393"/>
      <c r="AE79" s="393"/>
      <c r="AF79" s="393"/>
      <c r="AG79" s="393"/>
      <c r="AH79" s="393"/>
      <c r="AI79" s="393"/>
      <c r="AJ79" s="393"/>
      <c r="AK79" s="393"/>
      <c r="AL79" s="393"/>
      <c r="AM79" s="393"/>
    </row>
    <row r="80" spans="1:39" s="122" customFormat="1" ht="20.100000000000001" hidden="1" customHeight="1" outlineLevel="1">
      <c r="A80" s="174" t="s">
        <v>39</v>
      </c>
      <c r="B80" s="469">
        <v>1122</v>
      </c>
      <c r="C80" s="268">
        <v>77.099999999999994</v>
      </c>
      <c r="D80" s="181">
        <f>'[39]1.Фінансовий результат'!D82</f>
        <v>0</v>
      </c>
      <c r="E80" s="181">
        <f>'[40]1.Фінансовий результат'!$D$82</f>
        <v>10.8</v>
      </c>
      <c r="F80" s="487">
        <f>'[41]1.Фінансовий результат'!D82</f>
        <v>0</v>
      </c>
      <c r="G80" s="418">
        <f>'[42]1.Фінансовий результат'!H83</f>
        <v>0</v>
      </c>
      <c r="H80" s="418">
        <f t="shared" si="18"/>
        <v>0</v>
      </c>
      <c r="I80" s="418"/>
      <c r="J80" s="181"/>
      <c r="K80" s="181"/>
      <c r="L80" s="181"/>
      <c r="M80" s="181"/>
      <c r="N80" s="415"/>
      <c r="O80" s="467">
        <f t="shared" si="16"/>
        <v>0</v>
      </c>
      <c r="P80" s="428"/>
      <c r="Q80" s="405"/>
      <c r="R80" s="393"/>
      <c r="S80" s="393"/>
      <c r="T80" s="393"/>
      <c r="U80" s="393"/>
      <c r="V80" s="393"/>
      <c r="W80" s="393"/>
      <c r="X80" s="393"/>
      <c r="Y80" s="393"/>
      <c r="Z80" s="393"/>
      <c r="AA80" s="393"/>
      <c r="AB80" s="393"/>
      <c r="AC80" s="393"/>
      <c r="AD80" s="393"/>
      <c r="AE80" s="393"/>
      <c r="AF80" s="393"/>
      <c r="AG80" s="393"/>
      <c r="AH80" s="393"/>
      <c r="AI80" s="393"/>
      <c r="AJ80" s="393"/>
      <c r="AK80" s="393"/>
      <c r="AL80" s="393"/>
      <c r="AM80" s="393"/>
    </row>
    <row r="81" spans="1:39" s="122" customFormat="1" hidden="1" outlineLevel="1">
      <c r="A81" s="174" t="s">
        <v>49</v>
      </c>
      <c r="B81" s="469">
        <v>1123</v>
      </c>
      <c r="C81" s="268"/>
      <c r="D81" s="181">
        <f>'[39]1.Фінансовий результат'!D83</f>
        <v>0</v>
      </c>
      <c r="E81" s="181"/>
      <c r="F81" s="487">
        <f>'[41]1.Фінансовий результат'!D83</f>
        <v>0</v>
      </c>
      <c r="G81" s="418">
        <f>'[42]1.Фінансовий результат'!H84</f>
        <v>0</v>
      </c>
      <c r="H81" s="418">
        <f t="shared" si="18"/>
        <v>0</v>
      </c>
      <c r="I81" s="418"/>
      <c r="J81" s="181"/>
      <c r="K81" s="181"/>
      <c r="L81" s="181"/>
      <c r="M81" s="181"/>
      <c r="N81" s="415"/>
      <c r="O81" s="467">
        <f t="shared" si="16"/>
        <v>0</v>
      </c>
      <c r="P81" s="428"/>
      <c r="Q81" s="405"/>
      <c r="R81" s="393"/>
      <c r="S81" s="393"/>
      <c r="T81" s="393"/>
      <c r="U81" s="393"/>
      <c r="V81" s="393"/>
      <c r="W81" s="393"/>
      <c r="X81" s="393"/>
      <c r="Y81" s="393"/>
      <c r="Z81" s="393"/>
      <c r="AA81" s="393"/>
      <c r="AB81" s="393"/>
      <c r="AC81" s="393"/>
      <c r="AD81" s="393"/>
      <c r="AE81" s="393"/>
      <c r="AF81" s="393"/>
      <c r="AG81" s="393"/>
      <c r="AH81" s="393"/>
      <c r="AI81" s="393"/>
      <c r="AJ81" s="393"/>
      <c r="AK81" s="393"/>
      <c r="AL81" s="393"/>
      <c r="AM81" s="393"/>
    </row>
    <row r="82" spans="1:39" s="122" customFormat="1" ht="20.100000000000001" hidden="1" customHeight="1" outlineLevel="1">
      <c r="A82" s="174" t="s">
        <v>177</v>
      </c>
      <c r="B82" s="469">
        <v>1124</v>
      </c>
      <c r="C82" s="268"/>
      <c r="D82" s="181">
        <f>'[39]1.Фінансовий результат'!D84</f>
        <v>0</v>
      </c>
      <c r="E82" s="181"/>
      <c r="F82" s="487">
        <f>'[41]1.Фінансовий результат'!D84</f>
        <v>0</v>
      </c>
      <c r="G82" s="418">
        <f>'[42]1.Фінансовий результат'!H85</f>
        <v>0</v>
      </c>
      <c r="H82" s="418">
        <f t="shared" si="18"/>
        <v>0</v>
      </c>
      <c r="I82" s="418"/>
      <c r="J82" s="181"/>
      <c r="K82" s="181"/>
      <c r="L82" s="181"/>
      <c r="M82" s="181"/>
      <c r="N82" s="415"/>
      <c r="O82" s="467">
        <f t="shared" si="16"/>
        <v>0</v>
      </c>
      <c r="P82" s="428"/>
      <c r="Q82" s="405"/>
      <c r="R82" s="393"/>
      <c r="S82" s="393"/>
      <c r="T82" s="393"/>
      <c r="U82" s="393"/>
      <c r="V82" s="393"/>
      <c r="W82" s="393"/>
      <c r="X82" s="393"/>
      <c r="Y82" s="393"/>
      <c r="Z82" s="393"/>
      <c r="AA82" s="393"/>
      <c r="AB82" s="393"/>
      <c r="AC82" s="393"/>
      <c r="AD82" s="393"/>
      <c r="AE82" s="393"/>
      <c r="AF82" s="393"/>
      <c r="AG82" s="393"/>
      <c r="AH82" s="393"/>
      <c r="AI82" s="393"/>
      <c r="AJ82" s="393"/>
      <c r="AK82" s="393"/>
      <c r="AL82" s="393"/>
      <c r="AM82" s="393"/>
    </row>
    <row r="83" spans="1:39" s="122" customFormat="1" ht="20.100000000000001" hidden="1" customHeight="1" outlineLevel="1">
      <c r="A83" s="174" t="s">
        <v>192</v>
      </c>
      <c r="B83" s="469">
        <v>1125</v>
      </c>
      <c r="C83" s="181">
        <f>SUM(C84:C85)</f>
        <v>862.4</v>
      </c>
      <c r="D83" s="181">
        <f t="shared" ref="D83:N83" si="19">SUM(D84:D85)</f>
        <v>1563</v>
      </c>
      <c r="E83" s="181">
        <f t="shared" si="19"/>
        <v>2200.9</v>
      </c>
      <c r="F83" s="181">
        <f t="shared" si="19"/>
        <v>2982.7999999999993</v>
      </c>
      <c r="G83" s="181">
        <f t="shared" si="19"/>
        <v>3355.9</v>
      </c>
      <c r="H83" s="181">
        <f t="shared" si="19"/>
        <v>3355.9</v>
      </c>
      <c r="I83" s="181"/>
      <c r="J83" s="181"/>
      <c r="K83" s="181"/>
      <c r="L83" s="181">
        <f t="shared" si="19"/>
        <v>0</v>
      </c>
      <c r="M83" s="181">
        <f t="shared" si="19"/>
        <v>0</v>
      </c>
      <c r="N83" s="415">
        <f t="shared" si="19"/>
        <v>0</v>
      </c>
      <c r="O83" s="467">
        <f t="shared" si="16"/>
        <v>0</v>
      </c>
      <c r="P83" s="428"/>
      <c r="Q83" s="405"/>
      <c r="R83" s="393"/>
      <c r="S83" s="393"/>
      <c r="T83" s="393"/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  <c r="AE83" s="393"/>
      <c r="AF83" s="393"/>
      <c r="AG83" s="393"/>
      <c r="AH83" s="393"/>
      <c r="AI83" s="393"/>
      <c r="AJ83" s="393"/>
      <c r="AK83" s="393"/>
      <c r="AL83" s="393"/>
      <c r="AM83" s="393"/>
    </row>
    <row r="84" spans="1:39" s="122" customFormat="1" hidden="1" outlineLevel="1">
      <c r="A84" s="416" t="s">
        <v>458</v>
      </c>
      <c r="B84" s="417">
        <v>1</v>
      </c>
      <c r="C84" s="268">
        <f>C29</f>
        <v>699.3</v>
      </c>
      <c r="D84" s="418">
        <f>D29</f>
        <v>1296.5999999999999</v>
      </c>
      <c r="E84" s="418">
        <f>E29-E85-39.4</f>
        <v>2077.1</v>
      </c>
      <c r="F84" s="487">
        <f>'[41]1.Фінансовий результат'!D86</f>
        <v>2396.4999999999995</v>
      </c>
      <c r="G84" s="418">
        <f>'[42]1.Фінансовий результат'!H87</f>
        <v>3213.5</v>
      </c>
      <c r="H84" s="418">
        <f t="shared" ref="H84:H85" si="20">G84</f>
        <v>3213.5</v>
      </c>
      <c r="I84" s="418"/>
      <c r="J84" s="418"/>
      <c r="K84" s="418">
        <f>K29</f>
        <v>0</v>
      </c>
      <c r="L84" s="418">
        <f>L29</f>
        <v>0</v>
      </c>
      <c r="M84" s="418">
        <f>M29</f>
        <v>0</v>
      </c>
      <c r="N84" s="419">
        <f>N29</f>
        <v>0</v>
      </c>
      <c r="O84" s="467">
        <f t="shared" si="16"/>
        <v>0</v>
      </c>
      <c r="P84" s="428"/>
      <c r="Q84" s="405"/>
      <c r="R84" s="393"/>
      <c r="S84" s="393"/>
      <c r="T84" s="393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  <c r="AF84" s="393"/>
      <c r="AG84" s="393"/>
      <c r="AH84" s="393"/>
      <c r="AI84" s="393"/>
      <c r="AJ84" s="393"/>
      <c r="AK84" s="393"/>
      <c r="AL84" s="393"/>
      <c r="AM84" s="393"/>
    </row>
    <row r="85" spans="1:39" s="122" customFormat="1" ht="20.100000000000001" hidden="1" customHeight="1" outlineLevel="1">
      <c r="A85" s="416" t="s">
        <v>459</v>
      </c>
      <c r="B85" s="417">
        <v>2</v>
      </c>
      <c r="C85" s="268">
        <v>163.1</v>
      </c>
      <c r="D85" s="418">
        <v>266.40000000000003</v>
      </c>
      <c r="E85" s="418">
        <f>'[40]1.Фінансовий результат'!$D$26</f>
        <v>123.8</v>
      </c>
      <c r="F85" s="487">
        <f>'[41]1.Фінансовий результат'!D87</f>
        <v>586.29999999999995</v>
      </c>
      <c r="G85" s="418">
        <f>'[42]1.Фінансовий результат'!H88</f>
        <v>142.4</v>
      </c>
      <c r="H85" s="418">
        <f t="shared" si="20"/>
        <v>142.4</v>
      </c>
      <c r="I85" s="418"/>
      <c r="J85" s="418"/>
      <c r="K85" s="418"/>
      <c r="L85" s="418"/>
      <c r="M85" s="418"/>
      <c r="N85" s="419"/>
      <c r="O85" s="467">
        <f t="shared" si="16"/>
        <v>0</v>
      </c>
      <c r="P85" s="428"/>
      <c r="Q85" s="405"/>
      <c r="R85" s="393"/>
      <c r="S85" s="393"/>
      <c r="T85" s="393"/>
      <c r="U85" s="393"/>
      <c r="V85" s="393"/>
      <c r="W85" s="393"/>
      <c r="X85" s="393"/>
      <c r="Y85" s="393"/>
      <c r="Z85" s="393"/>
      <c r="AA85" s="393"/>
      <c r="AB85" s="393"/>
      <c r="AC85" s="393"/>
      <c r="AD85" s="393"/>
      <c r="AE85" s="393"/>
      <c r="AF85" s="393"/>
      <c r="AG85" s="393"/>
      <c r="AH85" s="393"/>
      <c r="AI85" s="393"/>
      <c r="AJ85" s="393"/>
      <c r="AK85" s="393"/>
      <c r="AL85" s="393"/>
      <c r="AM85" s="393"/>
    </row>
    <row r="86" spans="1:39" s="412" customFormat="1" ht="44.25" hidden="1" customHeight="1" collapsed="1">
      <c r="A86" s="490" t="s">
        <v>258</v>
      </c>
      <c r="B86" s="491">
        <v>1130</v>
      </c>
      <c r="C86" s="492">
        <f t="shared" ref="C86:N86" si="21">C27+C28-C32-C71-C78</f>
        <v>-859.1</v>
      </c>
      <c r="D86" s="493">
        <f t="shared" si="21"/>
        <v>-1219.0000000000002</v>
      </c>
      <c r="E86" s="493">
        <f t="shared" si="21"/>
        <v>-1228.7</v>
      </c>
      <c r="F86" s="493">
        <f t="shared" si="21"/>
        <v>-2050.4</v>
      </c>
      <c r="G86" s="493">
        <f t="shared" si="21"/>
        <v>-2431.7999999999997</v>
      </c>
      <c r="H86" s="493">
        <f t="shared" si="21"/>
        <v>-2431.7999999999997</v>
      </c>
      <c r="I86" s="493"/>
      <c r="J86" s="493"/>
      <c r="K86" s="493">
        <f t="shared" si="21"/>
        <v>554.90000000000146</v>
      </c>
      <c r="L86" s="493">
        <f t="shared" si="21"/>
        <v>650.5</v>
      </c>
      <c r="M86" s="493">
        <f t="shared" si="21"/>
        <v>575.69999999999993</v>
      </c>
      <c r="N86" s="493">
        <f t="shared" si="21"/>
        <v>543.40000000000146</v>
      </c>
      <c r="O86" s="494">
        <f t="shared" si="16"/>
        <v>0</v>
      </c>
      <c r="P86" s="432"/>
      <c r="Q86" s="405"/>
      <c r="R86" s="393"/>
      <c r="S86" s="393"/>
      <c r="T86" s="393"/>
      <c r="U86" s="393"/>
      <c r="V86" s="393"/>
      <c r="W86" s="393"/>
      <c r="X86" s="393"/>
      <c r="Y86" s="393"/>
      <c r="Z86" s="393"/>
      <c r="AA86" s="393"/>
      <c r="AB86" s="393"/>
      <c r="AC86" s="393"/>
      <c r="AD86" s="393"/>
      <c r="AE86" s="393"/>
      <c r="AF86" s="393"/>
      <c r="AG86" s="393"/>
      <c r="AH86" s="393"/>
      <c r="AI86" s="393"/>
      <c r="AJ86" s="393"/>
      <c r="AK86" s="393"/>
      <c r="AL86" s="393"/>
      <c r="AM86" s="393"/>
    </row>
    <row r="87" spans="1:39" s="120" customFormat="1" ht="20.100000000000001" hidden="1" customHeight="1">
      <c r="A87" s="443" t="s">
        <v>96</v>
      </c>
      <c r="B87" s="444">
        <v>1140</v>
      </c>
      <c r="C87" s="449">
        <f t="shared" ref="C87:N87" si="22">SUM(C88)</f>
        <v>46</v>
      </c>
      <c r="D87" s="450">
        <f t="shared" si="22"/>
        <v>340.40000000000003</v>
      </c>
      <c r="E87" s="450">
        <f t="shared" si="22"/>
        <v>938.7</v>
      </c>
      <c r="F87" s="450">
        <f t="shared" si="22"/>
        <v>5806.4</v>
      </c>
      <c r="G87" s="450">
        <f t="shared" si="22"/>
        <v>7967.7</v>
      </c>
      <c r="H87" s="450">
        <f t="shared" si="22"/>
        <v>7967.7</v>
      </c>
      <c r="I87" s="450"/>
      <c r="J87" s="446"/>
      <c r="K87" s="450">
        <f t="shared" si="22"/>
        <v>0</v>
      </c>
      <c r="L87" s="450">
        <f t="shared" si="22"/>
        <v>0</v>
      </c>
      <c r="M87" s="450">
        <f t="shared" si="22"/>
        <v>0</v>
      </c>
      <c r="N87" s="451">
        <f t="shared" si="22"/>
        <v>0</v>
      </c>
      <c r="O87" s="448">
        <f t="shared" si="16"/>
        <v>0</v>
      </c>
      <c r="P87" s="428"/>
      <c r="Q87" s="405"/>
      <c r="R87" s="393"/>
      <c r="S87" s="393"/>
      <c r="T87" s="393"/>
      <c r="U87" s="393"/>
      <c r="V87" s="393"/>
      <c r="W87" s="393"/>
      <c r="X87" s="393"/>
      <c r="Y87" s="393"/>
      <c r="Z87" s="393"/>
      <c r="AA87" s="393"/>
      <c r="AB87" s="393"/>
      <c r="AC87" s="393"/>
      <c r="AD87" s="393"/>
      <c r="AE87" s="393"/>
      <c r="AF87" s="393"/>
      <c r="AG87" s="393"/>
      <c r="AH87" s="393"/>
      <c r="AI87" s="393"/>
      <c r="AJ87" s="393"/>
      <c r="AK87" s="393"/>
      <c r="AL87" s="393"/>
      <c r="AM87" s="393"/>
    </row>
    <row r="88" spans="1:39" s="413" customFormat="1" ht="42" hidden="1" customHeight="1">
      <c r="A88" s="416" t="s">
        <v>460</v>
      </c>
      <c r="B88" s="465">
        <v>1</v>
      </c>
      <c r="C88" s="466">
        <f>'[38]Факт 2015'!$V$22</f>
        <v>46</v>
      </c>
      <c r="D88" s="418">
        <f>'[39]1.Фінансовий результат'!D88</f>
        <v>340.40000000000003</v>
      </c>
      <c r="E88" s="418">
        <f>E89+E91+E92</f>
        <v>938.7</v>
      </c>
      <c r="F88" s="418">
        <f>F89+F91+F92+F93</f>
        <v>5806.4</v>
      </c>
      <c r="G88" s="418">
        <f>G89+G91+G92+G93</f>
        <v>7967.7</v>
      </c>
      <c r="H88" s="418">
        <f>H89+H91+H92+H93</f>
        <v>7967.7</v>
      </c>
      <c r="I88" s="418"/>
      <c r="J88" s="418"/>
      <c r="K88" s="418">
        <f>K89+K91+K93</f>
        <v>0</v>
      </c>
      <c r="L88" s="418">
        <f>L89+L91+L93</f>
        <v>0</v>
      </c>
      <c r="M88" s="418">
        <f>M89+M91+M93</f>
        <v>0</v>
      </c>
      <c r="N88" s="419">
        <f>N89+N91+N93</f>
        <v>0</v>
      </c>
      <c r="O88" s="467">
        <f t="shared" si="16"/>
        <v>0</v>
      </c>
      <c r="P88" s="428"/>
      <c r="Q88" s="405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  <c r="AH88" s="393"/>
      <c r="AI88" s="393"/>
      <c r="AJ88" s="393"/>
      <c r="AK88" s="393"/>
      <c r="AL88" s="393"/>
      <c r="AM88" s="393"/>
    </row>
    <row r="89" spans="1:39" s="421" customFormat="1" ht="31.5" hidden="1">
      <c r="A89" s="495" t="s">
        <v>461</v>
      </c>
      <c r="B89" s="496" t="s">
        <v>462</v>
      </c>
      <c r="C89" s="418">
        <f t="shared" ref="C89:D89" si="23">SUM(C90)</f>
        <v>0</v>
      </c>
      <c r="D89" s="418">
        <f t="shared" si="23"/>
        <v>0</v>
      </c>
      <c r="E89" s="418">
        <f>SUM(E90)</f>
        <v>283</v>
      </c>
      <c r="F89" s="418">
        <f t="shared" ref="F89:H89" si="24">SUM(F90)</f>
        <v>1026.0999999999999</v>
      </c>
      <c r="G89" s="418">
        <f t="shared" si="24"/>
        <v>1697</v>
      </c>
      <c r="H89" s="418">
        <f t="shared" si="24"/>
        <v>1697</v>
      </c>
      <c r="I89" s="418"/>
      <c r="J89" s="418"/>
      <c r="K89" s="418">
        <f>SUM(K90)</f>
        <v>0</v>
      </c>
      <c r="L89" s="418">
        <f t="shared" ref="L89:N89" si="25">SUM(L90)</f>
        <v>0</v>
      </c>
      <c r="M89" s="418">
        <f t="shared" si="25"/>
        <v>0</v>
      </c>
      <c r="N89" s="419">
        <f t="shared" si="25"/>
        <v>0</v>
      </c>
      <c r="O89" s="467">
        <f t="shared" si="16"/>
        <v>0</v>
      </c>
      <c r="P89" s="428"/>
      <c r="Q89" s="420"/>
      <c r="R89" s="393"/>
      <c r="S89" s="393"/>
      <c r="T89" s="393"/>
      <c r="U89" s="393"/>
      <c r="V89" s="393"/>
      <c r="W89" s="393"/>
      <c r="X89" s="393"/>
      <c r="Y89" s="393"/>
      <c r="Z89" s="393"/>
      <c r="AA89" s="393"/>
      <c r="AB89" s="393"/>
      <c r="AC89" s="393"/>
      <c r="AD89" s="393"/>
      <c r="AE89" s="393"/>
      <c r="AF89" s="393"/>
      <c r="AG89" s="393"/>
      <c r="AH89" s="393"/>
      <c r="AI89" s="393"/>
      <c r="AJ89" s="393"/>
      <c r="AK89" s="393"/>
      <c r="AL89" s="393"/>
      <c r="AM89" s="393"/>
    </row>
    <row r="90" spans="1:39" s="421" customFormat="1" ht="16.5" hidden="1">
      <c r="A90" s="495" t="s">
        <v>463</v>
      </c>
      <c r="B90" s="496" t="s">
        <v>464</v>
      </c>
      <c r="C90" s="466"/>
      <c r="D90" s="418"/>
      <c r="E90" s="418">
        <f>'[40]1.Фінансовий результат'!D90</f>
        <v>283</v>
      </c>
      <c r="F90" s="418">
        <f>'[41]1.Фінансовий результат'!D92</f>
        <v>1026.0999999999999</v>
      </c>
      <c r="G90" s="418">
        <f>'[42]1.Фінансовий результат'!H93</f>
        <v>1697</v>
      </c>
      <c r="H90" s="418">
        <f t="shared" ref="H90:H94" si="26">G90</f>
        <v>1697</v>
      </c>
      <c r="I90" s="418"/>
      <c r="J90" s="418"/>
      <c r="K90" s="418"/>
      <c r="L90" s="418"/>
      <c r="M90" s="418"/>
      <c r="N90" s="419"/>
      <c r="O90" s="467">
        <f t="shared" si="16"/>
        <v>0</v>
      </c>
      <c r="P90" s="429" t="s">
        <v>465</v>
      </c>
      <c r="Q90" s="420"/>
      <c r="R90" s="393"/>
      <c r="S90" s="393"/>
      <c r="T90" s="393"/>
      <c r="U90" s="393"/>
      <c r="V90" s="393"/>
      <c r="W90" s="393"/>
      <c r="X90" s="393"/>
      <c r="Y90" s="393"/>
      <c r="Z90" s="393"/>
      <c r="AA90" s="393"/>
      <c r="AB90" s="393"/>
      <c r="AC90" s="393"/>
      <c r="AD90" s="393"/>
      <c r="AE90" s="393"/>
      <c r="AF90" s="393"/>
      <c r="AG90" s="393"/>
      <c r="AH90" s="393"/>
      <c r="AI90" s="393"/>
      <c r="AJ90" s="393"/>
      <c r="AK90" s="393"/>
      <c r="AL90" s="393"/>
      <c r="AM90" s="393"/>
    </row>
    <row r="91" spans="1:39" s="421" customFormat="1" ht="16.5" hidden="1">
      <c r="A91" s="495" t="s">
        <v>466</v>
      </c>
      <c r="B91" s="496" t="s">
        <v>467</v>
      </c>
      <c r="C91" s="466"/>
      <c r="D91" s="418">
        <f>D88</f>
        <v>340.40000000000003</v>
      </c>
      <c r="E91" s="418">
        <f>'[40]1.Фінансовий результат'!D94</f>
        <v>477.2</v>
      </c>
      <c r="F91" s="418">
        <f>'[41]1.Фінансовий результат'!D96</f>
        <v>730.3</v>
      </c>
      <c r="G91" s="418">
        <f>'[42]1.Фінансовий результат'!H95</f>
        <v>870.69999999999993</v>
      </c>
      <c r="H91" s="418">
        <f t="shared" si="26"/>
        <v>870.69999999999993</v>
      </c>
      <c r="I91" s="418"/>
      <c r="J91" s="418"/>
      <c r="K91" s="418"/>
      <c r="L91" s="418"/>
      <c r="M91" s="418"/>
      <c r="N91" s="419"/>
      <c r="O91" s="467">
        <f t="shared" si="16"/>
        <v>0</v>
      </c>
      <c r="P91" s="429" t="s">
        <v>465</v>
      </c>
      <c r="Q91" s="420"/>
      <c r="R91" s="393"/>
      <c r="S91" s="393"/>
      <c r="T91" s="393"/>
      <c r="U91" s="393"/>
      <c r="V91" s="393"/>
      <c r="W91" s="393"/>
      <c r="X91" s="393"/>
      <c r="Y91" s="393"/>
      <c r="Z91" s="393"/>
      <c r="AA91" s="393"/>
      <c r="AB91" s="393"/>
      <c r="AC91" s="393"/>
      <c r="AD91" s="393"/>
      <c r="AE91" s="393"/>
      <c r="AF91" s="393"/>
      <c r="AG91" s="393"/>
      <c r="AH91" s="393"/>
      <c r="AI91" s="393"/>
      <c r="AJ91" s="393"/>
      <c r="AK91" s="393"/>
      <c r="AL91" s="393"/>
      <c r="AM91" s="393"/>
    </row>
    <row r="92" spans="1:39" s="421" customFormat="1" ht="16.5" hidden="1" outlineLevel="1">
      <c r="A92" s="495" t="s">
        <v>468</v>
      </c>
      <c r="B92" s="496" t="s">
        <v>469</v>
      </c>
      <c r="C92" s="466"/>
      <c r="D92" s="418"/>
      <c r="E92" s="418">
        <f>'[40]1.Фінансовий результат'!D95</f>
        <v>178.5</v>
      </c>
      <c r="F92" s="418"/>
      <c r="G92" s="418">
        <f>'[42]1.Фінансовий результат'!H96</f>
        <v>0</v>
      </c>
      <c r="H92" s="418">
        <f t="shared" si="26"/>
        <v>0</v>
      </c>
      <c r="I92" s="418"/>
      <c r="J92" s="418"/>
      <c r="K92" s="418"/>
      <c r="L92" s="418"/>
      <c r="M92" s="418"/>
      <c r="N92" s="419"/>
      <c r="O92" s="467">
        <f t="shared" si="16"/>
        <v>0</v>
      </c>
      <c r="P92" s="428"/>
      <c r="Q92" s="420"/>
      <c r="R92" s="393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3"/>
      <c r="AG92" s="393"/>
      <c r="AH92" s="393"/>
      <c r="AI92" s="393"/>
      <c r="AJ92" s="393"/>
      <c r="AK92" s="393"/>
      <c r="AL92" s="393"/>
      <c r="AM92" s="393"/>
    </row>
    <row r="93" spans="1:39" s="421" customFormat="1" ht="16.5" hidden="1" collapsed="1">
      <c r="A93" s="495" t="s">
        <v>470</v>
      </c>
      <c r="B93" s="496" t="s">
        <v>471</v>
      </c>
      <c r="C93" s="466"/>
      <c r="D93" s="418"/>
      <c r="E93" s="418"/>
      <c r="F93" s="418">
        <f>'[41]1.Фінансовий результат'!D99</f>
        <v>4050</v>
      </c>
      <c r="G93" s="418">
        <f>'[42]1.Фінансовий результат'!H97</f>
        <v>5400</v>
      </c>
      <c r="H93" s="418">
        <f t="shared" si="26"/>
        <v>5400</v>
      </c>
      <c r="I93" s="418"/>
      <c r="J93" s="418"/>
      <c r="K93" s="418"/>
      <c r="L93" s="418"/>
      <c r="M93" s="418"/>
      <c r="N93" s="419"/>
      <c r="O93" s="467">
        <f t="shared" si="16"/>
        <v>0</v>
      </c>
      <c r="P93" s="429" t="s">
        <v>472</v>
      </c>
      <c r="Q93" s="420"/>
      <c r="R93" s="393"/>
      <c r="S93" s="393"/>
      <c r="T93" s="393"/>
      <c r="U93" s="393"/>
      <c r="V93" s="393"/>
      <c r="W93" s="393"/>
      <c r="X93" s="393"/>
      <c r="Y93" s="393"/>
      <c r="Z93" s="393"/>
      <c r="AA93" s="393"/>
      <c r="AB93" s="393"/>
      <c r="AC93" s="393"/>
      <c r="AD93" s="393"/>
      <c r="AE93" s="393"/>
      <c r="AF93" s="393"/>
      <c r="AG93" s="393"/>
      <c r="AH93" s="393"/>
      <c r="AI93" s="393"/>
      <c r="AJ93" s="393"/>
      <c r="AK93" s="393"/>
      <c r="AL93" s="393"/>
      <c r="AM93" s="393"/>
    </row>
    <row r="94" spans="1:39" s="421" customFormat="1" ht="16.5" hidden="1">
      <c r="A94" s="495" t="s">
        <v>473</v>
      </c>
      <c r="B94" s="496" t="s">
        <v>469</v>
      </c>
      <c r="C94" s="466"/>
      <c r="D94" s="418"/>
      <c r="E94" s="418">
        <f>'[40]1.Фінансовий результат'!D97</f>
        <v>0</v>
      </c>
      <c r="F94" s="418"/>
      <c r="G94" s="418">
        <f>'[42]1.Фінансовий результат'!H98</f>
        <v>0</v>
      </c>
      <c r="H94" s="418">
        <f t="shared" si="26"/>
        <v>0</v>
      </c>
      <c r="I94" s="418"/>
      <c r="J94" s="418"/>
      <c r="K94" s="418"/>
      <c r="L94" s="418"/>
      <c r="M94" s="418"/>
      <c r="N94" s="419"/>
      <c r="O94" s="467">
        <f t="shared" si="16"/>
        <v>0</v>
      </c>
      <c r="P94" s="428"/>
      <c r="Q94" s="420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</row>
    <row r="95" spans="1:39" s="120" customFormat="1" ht="20.100000000000001" hidden="1" customHeight="1" outlineLevel="1">
      <c r="A95" s="443" t="s">
        <v>98</v>
      </c>
      <c r="B95" s="444">
        <v>1150</v>
      </c>
      <c r="C95" s="445"/>
      <c r="D95" s="446">
        <f>'[39]1.Фінансовий результат'!D89</f>
        <v>0</v>
      </c>
      <c r="E95" s="497"/>
      <c r="F95" s="497">
        <f>'[41]1.Фінансовий результат'!D100</f>
        <v>0</v>
      </c>
      <c r="G95" s="497"/>
      <c r="H95" s="497"/>
      <c r="I95" s="497"/>
      <c r="J95" s="446"/>
      <c r="K95" s="446"/>
      <c r="L95" s="446"/>
      <c r="M95" s="446"/>
      <c r="N95" s="447"/>
      <c r="O95" s="448">
        <f t="shared" si="16"/>
        <v>0</v>
      </c>
      <c r="P95" s="428"/>
      <c r="Q95" s="405"/>
      <c r="R95" s="393"/>
      <c r="S95" s="393"/>
      <c r="T95" s="393"/>
      <c r="U95" s="393"/>
      <c r="V95" s="393"/>
      <c r="W95" s="393"/>
      <c r="X95" s="393"/>
      <c r="Y95" s="393"/>
      <c r="Z95" s="393"/>
      <c r="AA95" s="393"/>
      <c r="AB95" s="393"/>
      <c r="AC95" s="393"/>
      <c r="AD95" s="393"/>
      <c r="AE95" s="393"/>
      <c r="AF95" s="393"/>
      <c r="AG95" s="393"/>
      <c r="AH95" s="393"/>
      <c r="AI95" s="393"/>
      <c r="AJ95" s="393"/>
      <c r="AK95" s="393"/>
      <c r="AL95" s="393"/>
      <c r="AM95" s="393"/>
    </row>
    <row r="96" spans="1:39" s="120" customFormat="1" hidden="1" outlineLevel="1">
      <c r="A96" s="443" t="s">
        <v>474</v>
      </c>
      <c r="B96" s="444">
        <v>1160</v>
      </c>
      <c r="C96" s="449">
        <f>SUM(C97:C98)</f>
        <v>407.8</v>
      </c>
      <c r="D96" s="450">
        <f>SUM(D97:D98)</f>
        <v>613.00000000000011</v>
      </c>
      <c r="E96" s="450">
        <f t="shared" ref="E96:N96" si="27">SUM(E97:E98)</f>
        <v>122.1</v>
      </c>
      <c r="F96" s="450">
        <f t="shared" si="27"/>
        <v>427.3</v>
      </c>
      <c r="G96" s="450">
        <f t="shared" si="27"/>
        <v>214.3</v>
      </c>
      <c r="H96" s="450">
        <f t="shared" si="27"/>
        <v>295.10000000000002</v>
      </c>
      <c r="I96" s="450"/>
      <c r="J96" s="446"/>
      <c r="K96" s="450">
        <f t="shared" si="27"/>
        <v>0</v>
      </c>
      <c r="L96" s="450">
        <f t="shared" si="27"/>
        <v>0</v>
      </c>
      <c r="M96" s="450">
        <f t="shared" si="27"/>
        <v>0</v>
      </c>
      <c r="N96" s="451">
        <f t="shared" si="27"/>
        <v>0</v>
      </c>
      <c r="O96" s="448">
        <f t="shared" si="16"/>
        <v>0</v>
      </c>
      <c r="P96" s="428"/>
      <c r="Q96" s="405"/>
      <c r="R96" s="393"/>
      <c r="S96" s="393"/>
      <c r="T96" s="393"/>
      <c r="U96" s="393"/>
      <c r="V96" s="393"/>
      <c r="W96" s="393"/>
      <c r="X96" s="393"/>
      <c r="Y96" s="393"/>
      <c r="Z96" s="393"/>
      <c r="AA96" s="393"/>
      <c r="AB96" s="393"/>
      <c r="AC96" s="393"/>
      <c r="AD96" s="393"/>
      <c r="AE96" s="393"/>
      <c r="AF96" s="393"/>
      <c r="AG96" s="393"/>
      <c r="AH96" s="393"/>
      <c r="AI96" s="393"/>
      <c r="AJ96" s="393"/>
      <c r="AK96" s="393"/>
      <c r="AL96" s="393"/>
      <c r="AM96" s="393"/>
    </row>
    <row r="97" spans="1:39" s="413" customFormat="1" hidden="1" outlineLevel="1">
      <c r="A97" s="498" t="s">
        <v>475</v>
      </c>
      <c r="B97" s="465">
        <v>1</v>
      </c>
      <c r="C97" s="466">
        <f>'[38]Факт 2015'!$V$20</f>
        <v>407.8</v>
      </c>
      <c r="D97" s="418">
        <f>'[39]1.Фінансовий результат'!D91</f>
        <v>584.90000000000009</v>
      </c>
      <c r="E97" s="418">
        <f>'[40]1.Фінансовий результат'!D99</f>
        <v>15.5</v>
      </c>
      <c r="F97" s="418">
        <f>'[41]1.Фінансовий результат'!D102</f>
        <v>427.3</v>
      </c>
      <c r="G97" s="418">
        <f>'[42]1.Фінансовий результат'!H100</f>
        <v>214.3</v>
      </c>
      <c r="H97" s="418">
        <f>G97+80.8</f>
        <v>295.10000000000002</v>
      </c>
      <c r="I97" s="418"/>
      <c r="J97" s="181"/>
      <c r="K97" s="418"/>
      <c r="L97" s="418"/>
      <c r="M97" s="418"/>
      <c r="N97" s="419"/>
      <c r="O97" s="467">
        <f t="shared" si="16"/>
        <v>0</v>
      </c>
      <c r="P97" s="428"/>
      <c r="Q97" s="185"/>
      <c r="R97" s="393"/>
      <c r="S97" s="393"/>
      <c r="T97" s="393"/>
      <c r="U97" s="393"/>
      <c r="V97" s="393"/>
      <c r="W97" s="393"/>
      <c r="X97" s="393"/>
      <c r="Y97" s="393"/>
      <c r="Z97" s="393"/>
      <c r="AA97" s="393"/>
      <c r="AB97" s="393"/>
      <c r="AC97" s="393"/>
      <c r="AD97" s="393"/>
      <c r="AE97" s="393"/>
      <c r="AF97" s="393"/>
      <c r="AG97" s="393"/>
      <c r="AH97" s="393"/>
      <c r="AI97" s="393"/>
      <c r="AJ97" s="393"/>
      <c r="AK97" s="393"/>
      <c r="AL97" s="393"/>
      <c r="AM97" s="393"/>
    </row>
    <row r="98" spans="1:39" s="413" customFormat="1" hidden="1" outlineLevel="1">
      <c r="A98" s="499" t="s">
        <v>476</v>
      </c>
      <c r="B98" s="500">
        <v>2</v>
      </c>
      <c r="C98" s="501"/>
      <c r="D98" s="502">
        <f>'[39]1.Фінансовий результат'!D92</f>
        <v>28.1</v>
      </c>
      <c r="E98" s="502">
        <f>'[40]1.Фінансовий результат'!D100</f>
        <v>106.6</v>
      </c>
      <c r="F98" s="418">
        <f>'[41]1.Фінансовий результат'!D103</f>
        <v>0</v>
      </c>
      <c r="G98" s="418">
        <f>'[42]1.Фінансовий результат'!H101</f>
        <v>0</v>
      </c>
      <c r="H98" s="418">
        <f t="shared" ref="H98" si="28">G98</f>
        <v>0</v>
      </c>
      <c r="I98" s="502"/>
      <c r="J98" s="181"/>
      <c r="K98" s="502"/>
      <c r="L98" s="502"/>
      <c r="M98" s="502"/>
      <c r="N98" s="503"/>
      <c r="O98" s="467">
        <f t="shared" si="16"/>
        <v>0</v>
      </c>
      <c r="P98" s="428"/>
      <c r="Q98" s="185"/>
      <c r="R98" s="393"/>
      <c r="S98" s="393"/>
      <c r="T98" s="393"/>
      <c r="U98" s="393"/>
      <c r="V98" s="393"/>
      <c r="W98" s="393"/>
      <c r="X98" s="393"/>
      <c r="Y98" s="393"/>
      <c r="Z98" s="393"/>
      <c r="AA98" s="393"/>
      <c r="AB98" s="393"/>
      <c r="AC98" s="393"/>
      <c r="AD98" s="393"/>
      <c r="AE98" s="393"/>
      <c r="AF98" s="393"/>
      <c r="AG98" s="393"/>
      <c r="AH98" s="393"/>
      <c r="AI98" s="393"/>
      <c r="AJ98" s="393"/>
      <c r="AK98" s="393"/>
      <c r="AL98" s="393"/>
      <c r="AM98" s="393"/>
    </row>
    <row r="99" spans="1:39" s="413" customFormat="1" hidden="1" outlineLevel="1">
      <c r="A99" s="504"/>
      <c r="B99" s="504"/>
      <c r="C99" s="504"/>
      <c r="D99" s="504"/>
      <c r="E99" s="504"/>
      <c r="F99" s="504"/>
      <c r="G99" s="504"/>
      <c r="H99" s="504"/>
      <c r="I99" s="504"/>
      <c r="J99" s="181"/>
      <c r="K99" s="505"/>
      <c r="L99" s="505"/>
      <c r="M99" s="505"/>
      <c r="N99" s="481" t="s">
        <v>477</v>
      </c>
      <c r="O99" s="467">
        <f t="shared" si="16"/>
        <v>0</v>
      </c>
      <c r="P99" s="428"/>
      <c r="Q99" s="185"/>
      <c r="R99" s="393"/>
      <c r="S99" s="393"/>
      <c r="T99" s="393"/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  <c r="AH99" s="393"/>
      <c r="AI99" s="393"/>
      <c r="AJ99" s="393"/>
      <c r="AK99" s="393"/>
      <c r="AL99" s="393"/>
      <c r="AM99" s="393"/>
    </row>
    <row r="100" spans="1:39" s="120" customFormat="1" hidden="1" outlineLevel="1">
      <c r="A100" s="506" t="s">
        <v>478</v>
      </c>
      <c r="B100" s="507">
        <v>1170</v>
      </c>
      <c r="C100" s="508">
        <f>SUM(C101:C102)</f>
        <v>5.9</v>
      </c>
      <c r="D100" s="509">
        <f>SUM(D101:D102)</f>
        <v>131.29999999999998</v>
      </c>
      <c r="E100" s="509">
        <f t="shared" ref="E100:N100" si="29">SUM(E101:E102)</f>
        <v>284.10000000000002</v>
      </c>
      <c r="F100" s="509">
        <f t="shared" si="29"/>
        <v>212</v>
      </c>
      <c r="G100" s="509">
        <f t="shared" si="29"/>
        <v>223.2</v>
      </c>
      <c r="H100" s="509">
        <f t="shared" si="29"/>
        <v>223.2</v>
      </c>
      <c r="I100" s="509"/>
      <c r="J100" s="446"/>
      <c r="K100" s="509">
        <f t="shared" si="29"/>
        <v>0</v>
      </c>
      <c r="L100" s="509">
        <f t="shared" si="29"/>
        <v>0</v>
      </c>
      <c r="M100" s="509">
        <f t="shared" si="29"/>
        <v>0</v>
      </c>
      <c r="N100" s="510">
        <f t="shared" si="29"/>
        <v>0</v>
      </c>
      <c r="O100" s="448">
        <f t="shared" si="16"/>
        <v>0</v>
      </c>
      <c r="P100" s="428"/>
      <c r="Q100" s="405"/>
      <c r="R100" s="393"/>
      <c r="S100" s="393"/>
      <c r="T100" s="393"/>
      <c r="U100" s="393"/>
      <c r="V100" s="393"/>
      <c r="W100" s="393"/>
      <c r="X100" s="393"/>
      <c r="Y100" s="393"/>
      <c r="Z100" s="393"/>
      <c r="AA100" s="393"/>
      <c r="AB100" s="393"/>
      <c r="AC100" s="393"/>
      <c r="AD100" s="393"/>
      <c r="AE100" s="393"/>
      <c r="AF100" s="393"/>
      <c r="AG100" s="393"/>
      <c r="AH100" s="393"/>
      <c r="AI100" s="393"/>
      <c r="AJ100" s="393"/>
      <c r="AK100" s="393"/>
      <c r="AL100" s="393"/>
      <c r="AM100" s="393"/>
    </row>
    <row r="101" spans="1:39" s="413" customFormat="1" ht="19.5" hidden="1" customHeight="1" outlineLevel="1">
      <c r="A101" s="416" t="s">
        <v>479</v>
      </c>
      <c r="B101" s="465">
        <v>1</v>
      </c>
      <c r="C101" s="267">
        <f>'[38]Факт 2015'!$V$80</f>
        <v>5.9</v>
      </c>
      <c r="D101" s="418">
        <f>'[39]1.Фінансовий результат'!D94</f>
        <v>6.1</v>
      </c>
      <c r="E101" s="418">
        <f>'[40]1.Фінансовий результат'!D102</f>
        <v>6</v>
      </c>
      <c r="F101" s="418">
        <f>'[41]1.Фінансовий результат'!D105</f>
        <v>0</v>
      </c>
      <c r="G101" s="418">
        <f>'[42]1.Фінансовий результат'!H104</f>
        <v>0</v>
      </c>
      <c r="H101" s="418">
        <f t="shared" ref="H101:H102" si="30">G101</f>
        <v>0</v>
      </c>
      <c r="I101" s="418"/>
      <c r="J101" s="181"/>
      <c r="K101" s="418"/>
      <c r="L101" s="418"/>
      <c r="M101" s="418"/>
      <c r="N101" s="419"/>
      <c r="O101" s="467">
        <f t="shared" si="16"/>
        <v>0</v>
      </c>
      <c r="P101" s="428"/>
      <c r="Q101" s="185"/>
      <c r="R101" s="393"/>
      <c r="S101" s="393"/>
      <c r="T101" s="393"/>
      <c r="U101" s="393"/>
      <c r="V101" s="393"/>
      <c r="W101" s="393"/>
      <c r="X101" s="393"/>
      <c r="Y101" s="393"/>
      <c r="Z101" s="393"/>
      <c r="AA101" s="393"/>
      <c r="AB101" s="393"/>
      <c r="AC101" s="393"/>
      <c r="AD101" s="393"/>
      <c r="AE101" s="393"/>
      <c r="AF101" s="393"/>
      <c r="AG101" s="393"/>
      <c r="AH101" s="393"/>
      <c r="AI101" s="393"/>
      <c r="AJ101" s="393"/>
      <c r="AK101" s="393"/>
      <c r="AL101" s="393"/>
      <c r="AM101" s="393"/>
    </row>
    <row r="102" spans="1:39" s="413" customFormat="1" ht="19.5" hidden="1" customHeight="1" outlineLevel="1">
      <c r="A102" s="498" t="s">
        <v>480</v>
      </c>
      <c r="B102" s="465">
        <v>2</v>
      </c>
      <c r="C102" s="267"/>
      <c r="D102" s="418">
        <f>'[39]1.Фінансовий результат'!D95</f>
        <v>125.19999999999999</v>
      </c>
      <c r="E102" s="418">
        <f>'[40]1.Фінансовий результат'!D103</f>
        <v>278.10000000000002</v>
      </c>
      <c r="F102" s="418">
        <f>'[41]1.Фінансовий результат'!D106</f>
        <v>212</v>
      </c>
      <c r="G102" s="418">
        <f>'[42]1.Фінансовий результат'!H105</f>
        <v>223.2</v>
      </c>
      <c r="H102" s="418">
        <f t="shared" si="30"/>
        <v>223.2</v>
      </c>
      <c r="I102" s="418"/>
      <c r="J102" s="181"/>
      <c r="K102" s="418"/>
      <c r="L102" s="418"/>
      <c r="M102" s="418"/>
      <c r="N102" s="419"/>
      <c r="O102" s="467">
        <f t="shared" si="16"/>
        <v>0</v>
      </c>
      <c r="P102" s="428"/>
      <c r="Q102" s="185"/>
      <c r="R102" s="393"/>
      <c r="S102" s="393"/>
      <c r="T102" s="393"/>
      <c r="U102" s="393"/>
      <c r="V102" s="393"/>
      <c r="W102" s="393"/>
      <c r="X102" s="393"/>
      <c r="Y102" s="393"/>
      <c r="Z102" s="393"/>
      <c r="AA102" s="393"/>
      <c r="AB102" s="393"/>
      <c r="AC102" s="393"/>
      <c r="AD102" s="393"/>
      <c r="AE102" s="393"/>
      <c r="AF102" s="393"/>
      <c r="AG102" s="393"/>
      <c r="AH102" s="393"/>
      <c r="AI102" s="393"/>
      <c r="AJ102" s="393"/>
      <c r="AK102" s="393"/>
      <c r="AL102" s="393"/>
      <c r="AM102" s="393"/>
    </row>
    <row r="103" spans="1:39" s="412" customFormat="1" ht="38.450000000000003" customHeight="1" collapsed="1">
      <c r="A103" s="452" t="s">
        <v>259</v>
      </c>
      <c r="B103" s="453">
        <v>1200</v>
      </c>
      <c r="C103" s="454">
        <f t="shared" ref="C103:H103" si="31">C86+C87+C96-C95-C100</f>
        <v>-411.2</v>
      </c>
      <c r="D103" s="455">
        <f t="shared" si="31"/>
        <v>-396.9</v>
      </c>
      <c r="E103" s="455">
        <f t="shared" si="31"/>
        <v>-452</v>
      </c>
      <c r="F103" s="455">
        <f t="shared" si="31"/>
        <v>3971.2999999999993</v>
      </c>
      <c r="G103" s="455">
        <f t="shared" si="31"/>
        <v>5527</v>
      </c>
      <c r="H103" s="455">
        <f t="shared" si="31"/>
        <v>5607.8</v>
      </c>
      <c r="I103" s="522" t="s">
        <v>489</v>
      </c>
      <c r="J103" s="455">
        <f>'Фінплан - зведені показники'!F28</f>
        <v>2.3646862246096134E-11</v>
      </c>
      <c r="K103" s="455">
        <f>K86+K87+K96-K95-K100</f>
        <v>554.90000000000146</v>
      </c>
      <c r="L103" s="455">
        <f>L86+L87+L96-L95-L100</f>
        <v>650.5</v>
      </c>
      <c r="M103" s="455">
        <f>M86+M87+M96-M95-M100</f>
        <v>575.69999999999993</v>
      </c>
      <c r="N103" s="455">
        <f>N86+N87+N96-N95-N100</f>
        <v>543.40000000000146</v>
      </c>
      <c r="O103" s="456">
        <f t="shared" si="16"/>
        <v>2.3646862246096134E-11</v>
      </c>
      <c r="P103" s="432"/>
      <c r="Q103" s="405"/>
      <c r="R103" s="393"/>
      <c r="S103" s="393"/>
      <c r="T103" s="393"/>
      <c r="U103" s="393"/>
      <c r="V103" s="393"/>
      <c r="W103" s="393"/>
      <c r="X103" s="393"/>
      <c r="Y103" s="393"/>
      <c r="Z103" s="393"/>
      <c r="AA103" s="393"/>
      <c r="AB103" s="393"/>
      <c r="AC103" s="393"/>
      <c r="AD103" s="393"/>
      <c r="AE103" s="393"/>
      <c r="AF103" s="393"/>
      <c r="AG103" s="393"/>
      <c r="AH103" s="393"/>
      <c r="AI103" s="393"/>
      <c r="AJ103" s="393"/>
      <c r="AK103" s="393"/>
      <c r="AL103" s="393"/>
      <c r="AM103" s="393"/>
    </row>
    <row r="104" spans="1:39" ht="20.100000000000001" hidden="1" customHeight="1">
      <c r="A104" s="511" t="s">
        <v>119</v>
      </c>
      <c r="B104" s="512">
        <v>1210</v>
      </c>
      <c r="C104" s="268"/>
      <c r="D104" s="181">
        <f>'[39]1.Фінансовий результат'!D97</f>
        <v>4.4000000000000004</v>
      </c>
      <c r="E104" s="181"/>
      <c r="F104" s="418">
        <f>'[41]1.Фінансовий результат'!D108</f>
        <v>3.3</v>
      </c>
      <c r="G104" s="418">
        <f>'[42]1.Фінансовий результат'!H107</f>
        <v>0</v>
      </c>
      <c r="H104" s="418">
        <f>ROUND(H103*15%,1)</f>
        <v>841.2</v>
      </c>
      <c r="I104" s="418"/>
      <c r="J104" s="418"/>
      <c r="K104" s="103"/>
      <c r="L104" s="103"/>
      <c r="M104" s="103"/>
      <c r="N104" s="513"/>
      <c r="O104" s="467">
        <f t="shared" si="16"/>
        <v>0</v>
      </c>
      <c r="P104" s="428"/>
      <c r="Q104" s="405"/>
      <c r="R104" s="393"/>
      <c r="S104" s="393"/>
      <c r="T104" s="393"/>
      <c r="U104" s="393"/>
      <c r="V104" s="393"/>
      <c r="W104" s="393"/>
      <c r="X104" s="393"/>
      <c r="Y104" s="393"/>
      <c r="Z104" s="393"/>
      <c r="AA104" s="393"/>
      <c r="AB104" s="393"/>
      <c r="AC104" s="393"/>
      <c r="AD104" s="393"/>
      <c r="AE104" s="393"/>
      <c r="AF104" s="393"/>
      <c r="AG104" s="393"/>
      <c r="AH104" s="393"/>
      <c r="AI104" s="393"/>
      <c r="AJ104" s="393"/>
      <c r="AK104" s="393"/>
      <c r="AL104" s="393"/>
      <c r="AM104" s="393"/>
    </row>
    <row r="105" spans="1:39" ht="31.5" hidden="1" outlineLevel="1">
      <c r="A105" s="511" t="s">
        <v>120</v>
      </c>
      <c r="B105" s="512">
        <v>1220</v>
      </c>
      <c r="C105" s="268"/>
      <c r="D105" s="181">
        <f>'[39]1.Фінансовий результат'!D98</f>
        <v>0</v>
      </c>
      <c r="E105" s="181"/>
      <c r="F105" s="418">
        <f>'[41]1.Фінансовий результат'!D109</f>
        <v>0</v>
      </c>
      <c r="G105" s="418">
        <f>'[42]1.Фінансовий результат'!H108</f>
        <v>0</v>
      </c>
      <c r="H105" s="418">
        <f t="shared" ref="H105" si="32">G105</f>
        <v>0</v>
      </c>
      <c r="I105" s="418"/>
      <c r="J105" s="181"/>
      <c r="K105" s="103"/>
      <c r="L105" s="103"/>
      <c r="M105" s="103"/>
      <c r="N105" s="513"/>
      <c r="O105" s="467">
        <f t="shared" si="16"/>
        <v>0</v>
      </c>
      <c r="P105" s="428"/>
      <c r="Q105" s="405"/>
      <c r="R105" s="393"/>
      <c r="S105" s="393"/>
      <c r="T105" s="393"/>
      <c r="U105" s="393"/>
      <c r="V105" s="393"/>
      <c r="W105" s="393"/>
      <c r="X105" s="393"/>
      <c r="Y105" s="393"/>
      <c r="Z105" s="393"/>
      <c r="AA105" s="393"/>
      <c r="AB105" s="393"/>
      <c r="AC105" s="393"/>
      <c r="AD105" s="393"/>
      <c r="AE105" s="393"/>
      <c r="AF105" s="393"/>
      <c r="AG105" s="393"/>
      <c r="AH105" s="393"/>
      <c r="AI105" s="393"/>
      <c r="AJ105" s="393"/>
      <c r="AK105" s="393"/>
      <c r="AL105" s="393"/>
      <c r="AM105" s="393"/>
    </row>
    <row r="106" spans="1:39" s="412" customFormat="1" ht="28.15" customHeight="1" collapsed="1">
      <c r="A106" s="452" t="s">
        <v>261</v>
      </c>
      <c r="B106" s="453">
        <v>1230</v>
      </c>
      <c r="C106" s="454">
        <f t="shared" ref="C106:N106" si="33">C103-C104</f>
        <v>-411.2</v>
      </c>
      <c r="D106" s="455">
        <f t="shared" si="33"/>
        <v>-401.29999999999995</v>
      </c>
      <c r="E106" s="455">
        <f t="shared" si="33"/>
        <v>-452</v>
      </c>
      <c r="F106" s="455">
        <f t="shared" si="33"/>
        <v>3967.9999999999991</v>
      </c>
      <c r="G106" s="455">
        <f t="shared" si="33"/>
        <v>5527</v>
      </c>
      <c r="H106" s="455">
        <f t="shared" si="33"/>
        <v>4766.6000000000004</v>
      </c>
      <c r="I106" s="522" t="s">
        <v>489</v>
      </c>
      <c r="J106" s="455">
        <f>'Фінплан - зведені показники'!F30</f>
        <v>2.3646862246096134E-11</v>
      </c>
      <c r="K106" s="455">
        <f t="shared" si="33"/>
        <v>554.90000000000146</v>
      </c>
      <c r="L106" s="455">
        <f t="shared" si="33"/>
        <v>650.5</v>
      </c>
      <c r="M106" s="455">
        <f t="shared" si="33"/>
        <v>575.69999999999993</v>
      </c>
      <c r="N106" s="455">
        <f t="shared" si="33"/>
        <v>543.40000000000146</v>
      </c>
      <c r="O106" s="456">
        <f t="shared" si="16"/>
        <v>2.3646862246096134E-11</v>
      </c>
      <c r="P106" s="523" t="s">
        <v>490</v>
      </c>
      <c r="Q106" s="405"/>
      <c r="R106" s="393"/>
      <c r="S106" s="393"/>
      <c r="T106" s="393"/>
      <c r="U106" s="393"/>
      <c r="V106" s="393"/>
      <c r="W106" s="393"/>
      <c r="X106" s="393"/>
      <c r="Y106" s="393"/>
      <c r="Z106" s="393"/>
      <c r="AA106" s="393"/>
      <c r="AB106" s="393"/>
      <c r="AC106" s="393"/>
      <c r="AD106" s="393"/>
      <c r="AE106" s="393"/>
      <c r="AF106" s="393"/>
      <c r="AG106" s="393"/>
      <c r="AH106" s="393"/>
      <c r="AI106" s="393"/>
      <c r="AJ106" s="393"/>
      <c r="AK106" s="393"/>
      <c r="AL106" s="393"/>
      <c r="AM106" s="393"/>
    </row>
    <row r="107" spans="1:39" s="117" customFormat="1" ht="20.100000000000001" customHeight="1">
      <c r="A107" s="543" t="s">
        <v>209</v>
      </c>
      <c r="B107" s="544"/>
      <c r="C107" s="544"/>
      <c r="D107" s="544"/>
      <c r="E107" s="544"/>
      <c r="F107" s="544"/>
      <c r="G107" s="544"/>
      <c r="H107" s="544"/>
      <c r="I107" s="544"/>
      <c r="J107" s="544"/>
      <c r="K107" s="544"/>
      <c r="L107" s="544"/>
      <c r="M107" s="544"/>
      <c r="N107" s="545"/>
      <c r="O107" s="411">
        <f t="shared" si="16"/>
        <v>0</v>
      </c>
      <c r="P107" s="428"/>
      <c r="Q107" s="405"/>
      <c r="R107" s="393"/>
      <c r="S107" s="393"/>
      <c r="T107" s="393"/>
      <c r="U107" s="393"/>
      <c r="V107" s="393"/>
      <c r="W107" s="393"/>
      <c r="X107" s="393"/>
      <c r="Y107" s="393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3"/>
      <c r="AK107" s="393"/>
      <c r="AL107" s="393"/>
      <c r="AM107" s="393"/>
    </row>
    <row r="108" spans="1:39" s="120" customFormat="1" ht="20.100000000000001" customHeight="1">
      <c r="A108" s="174" t="s">
        <v>8</v>
      </c>
      <c r="B108" s="469">
        <v>1240</v>
      </c>
      <c r="C108" s="112">
        <f t="shared" ref="C108:H108" si="34">C15+C28+C87+C96</f>
        <v>1407.8999999999999</v>
      </c>
      <c r="D108" s="112">
        <f t="shared" si="34"/>
        <v>2565.3000000000002</v>
      </c>
      <c r="E108" s="112">
        <f t="shared" si="34"/>
        <v>3644.6</v>
      </c>
      <c r="F108" s="112">
        <f t="shared" si="34"/>
        <v>9180.2999999999993</v>
      </c>
      <c r="G108" s="112">
        <f t="shared" si="34"/>
        <v>11629.5</v>
      </c>
      <c r="H108" s="112">
        <f t="shared" si="34"/>
        <v>11710.300000000001</v>
      </c>
      <c r="I108" s="112">
        <f t="shared" ref="I108:I118" si="35">SUM(K108:N108)</f>
        <v>75410.199999999983</v>
      </c>
      <c r="J108" s="112">
        <f>'1.Фінансовий результат'!F149</f>
        <v>96345.5</v>
      </c>
      <c r="K108" s="112">
        <v>18557.8</v>
      </c>
      <c r="L108" s="112">
        <v>19514.099999999999</v>
      </c>
      <c r="M108" s="112">
        <v>18394.899999999998</v>
      </c>
      <c r="N108" s="397">
        <v>18943.400000000001</v>
      </c>
      <c r="O108" s="411">
        <f t="shared" si="16"/>
        <v>20935.300000000017</v>
      </c>
      <c r="P108" s="428"/>
      <c r="Q108" s="405"/>
      <c r="R108" s="393"/>
      <c r="S108" s="393"/>
      <c r="T108" s="393"/>
      <c r="U108" s="393"/>
      <c r="V108" s="393"/>
      <c r="W108" s="393"/>
      <c r="X108" s="393"/>
      <c r="Y108" s="393"/>
      <c r="Z108" s="393"/>
      <c r="AA108" s="393"/>
      <c r="AB108" s="393"/>
      <c r="AC108" s="393"/>
      <c r="AD108" s="393"/>
      <c r="AE108" s="393"/>
      <c r="AF108" s="393"/>
      <c r="AG108" s="393"/>
      <c r="AH108" s="393"/>
      <c r="AI108" s="393"/>
      <c r="AJ108" s="393"/>
      <c r="AK108" s="393"/>
      <c r="AL108" s="393"/>
      <c r="AM108" s="393"/>
    </row>
    <row r="109" spans="1:39" s="120" customFormat="1" ht="20.100000000000001" customHeight="1">
      <c r="A109" s="174" t="s">
        <v>101</v>
      </c>
      <c r="B109" s="469">
        <v>1250</v>
      </c>
      <c r="C109" s="112">
        <f t="shared" ref="C109:H109" si="36">C16+C32+C71+C78+C95+C100+C104</f>
        <v>1819.1</v>
      </c>
      <c r="D109" s="112">
        <f t="shared" si="36"/>
        <v>2966.6000000000004</v>
      </c>
      <c r="E109" s="112">
        <f t="shared" si="36"/>
        <v>4096.6000000000004</v>
      </c>
      <c r="F109" s="112">
        <f t="shared" si="36"/>
        <v>5212.3</v>
      </c>
      <c r="G109" s="112">
        <f t="shared" si="36"/>
        <v>6102.4999999999991</v>
      </c>
      <c r="H109" s="112">
        <f t="shared" si="36"/>
        <v>6943.6999999999989</v>
      </c>
      <c r="I109" s="112">
        <f t="shared" si="35"/>
        <v>75410.200000000012</v>
      </c>
      <c r="J109" s="112">
        <f>'1.Фінансовий результат'!F150</f>
        <v>96345.499999999985</v>
      </c>
      <c r="K109" s="112">
        <v>18557.800000000003</v>
      </c>
      <c r="L109" s="112">
        <v>19514.100000000002</v>
      </c>
      <c r="M109" s="112">
        <v>18394.900000000001</v>
      </c>
      <c r="N109" s="397">
        <v>18943.399999999998</v>
      </c>
      <c r="O109" s="411">
        <f t="shared" si="16"/>
        <v>20935.299999999974</v>
      </c>
      <c r="P109" s="428"/>
      <c r="Q109" s="405"/>
      <c r="R109" s="393"/>
      <c r="S109" s="393"/>
      <c r="T109" s="393"/>
      <c r="U109" s="393"/>
      <c r="V109" s="393"/>
      <c r="W109" s="393"/>
      <c r="X109" s="393"/>
      <c r="Y109" s="393"/>
      <c r="Z109" s="393"/>
      <c r="AA109" s="393"/>
      <c r="AB109" s="393"/>
      <c r="AC109" s="393"/>
      <c r="AD109" s="393"/>
      <c r="AE109" s="393"/>
      <c r="AF109" s="393"/>
      <c r="AG109" s="393"/>
      <c r="AH109" s="393"/>
      <c r="AI109" s="393"/>
      <c r="AJ109" s="393"/>
      <c r="AK109" s="393"/>
      <c r="AL109" s="393"/>
      <c r="AM109" s="393"/>
    </row>
    <row r="110" spans="1:39" s="120" customFormat="1" ht="18.75" customHeight="1">
      <c r="A110" s="546" t="s">
        <v>184</v>
      </c>
      <c r="B110" s="546"/>
      <c r="C110" s="546"/>
      <c r="D110" s="546"/>
      <c r="E110" s="546"/>
      <c r="F110" s="546"/>
      <c r="G110" s="546"/>
      <c r="H110" s="546"/>
      <c r="I110" s="546"/>
      <c r="J110" s="546"/>
      <c r="K110" s="546"/>
      <c r="L110" s="546"/>
      <c r="M110" s="546"/>
      <c r="N110" s="547"/>
      <c r="O110" s="411">
        <f t="shared" si="16"/>
        <v>0</v>
      </c>
      <c r="P110" s="428"/>
      <c r="Q110" s="405"/>
      <c r="R110" s="393"/>
      <c r="S110" s="393"/>
      <c r="T110" s="393"/>
      <c r="U110" s="393"/>
      <c r="V110" s="393"/>
      <c r="W110" s="393"/>
      <c r="X110" s="393"/>
      <c r="Y110" s="393"/>
      <c r="Z110" s="393"/>
      <c r="AA110" s="393"/>
      <c r="AB110" s="393"/>
      <c r="AC110" s="393"/>
      <c r="AD110" s="393"/>
      <c r="AE110" s="393"/>
      <c r="AF110" s="393"/>
      <c r="AG110" s="393"/>
      <c r="AH110" s="393"/>
      <c r="AI110" s="393"/>
      <c r="AJ110" s="393"/>
      <c r="AK110" s="393"/>
      <c r="AL110" s="393"/>
      <c r="AM110" s="393"/>
    </row>
    <row r="111" spans="1:39" s="120" customFormat="1" ht="18.75" customHeight="1">
      <c r="A111" s="174" t="s">
        <v>210</v>
      </c>
      <c r="B111" s="514">
        <v>1260</v>
      </c>
      <c r="C111" s="292">
        <f t="shared" ref="C111" si="37">C112+C113</f>
        <v>19.5</v>
      </c>
      <c r="D111" s="292">
        <f>D112+D113</f>
        <v>40.799999999999997</v>
      </c>
      <c r="E111" s="292">
        <f>E112+E113</f>
        <v>27.5</v>
      </c>
      <c r="F111" s="292">
        <f>F112+F113</f>
        <v>17.8</v>
      </c>
      <c r="G111" s="292">
        <f>G112+G113</f>
        <v>42.400000000000006</v>
      </c>
      <c r="H111" s="292">
        <f>H112+H113</f>
        <v>42.400000000000006</v>
      </c>
      <c r="I111" s="292">
        <f t="shared" si="35"/>
        <v>11066.199999999999</v>
      </c>
      <c r="J111" s="112">
        <f>'1.Фінансовий результат'!F152</f>
        <v>21176.800000000003</v>
      </c>
      <c r="K111" s="292">
        <v>2631.1</v>
      </c>
      <c r="L111" s="292">
        <v>2991.7</v>
      </c>
      <c r="M111" s="292">
        <v>2244.5</v>
      </c>
      <c r="N111" s="423">
        <v>3198.8999999999996</v>
      </c>
      <c r="O111" s="411">
        <f t="shared" si="16"/>
        <v>10110.600000000004</v>
      </c>
      <c r="P111" s="428"/>
      <c r="Q111" s="405"/>
      <c r="R111" s="393"/>
      <c r="S111" s="393"/>
      <c r="T111" s="393"/>
      <c r="U111" s="393"/>
      <c r="V111" s="393"/>
      <c r="W111" s="393"/>
      <c r="X111" s="393"/>
      <c r="Y111" s="393"/>
      <c r="Z111" s="393"/>
      <c r="AA111" s="393"/>
      <c r="AB111" s="393"/>
      <c r="AC111" s="393"/>
      <c r="AD111" s="393"/>
      <c r="AE111" s="393"/>
      <c r="AF111" s="393"/>
      <c r="AG111" s="393"/>
      <c r="AH111" s="393"/>
      <c r="AI111" s="393"/>
      <c r="AJ111" s="393"/>
      <c r="AK111" s="393"/>
      <c r="AL111" s="393"/>
      <c r="AM111" s="393"/>
    </row>
    <row r="112" spans="1:39" s="120" customFormat="1" ht="18.75" customHeight="1">
      <c r="A112" s="174" t="s">
        <v>208</v>
      </c>
      <c r="B112" s="514">
        <v>1261</v>
      </c>
      <c r="C112" s="292">
        <f t="shared" ref="C112:H112" si="38">C17+C22</f>
        <v>0</v>
      </c>
      <c r="D112" s="292">
        <f t="shared" si="38"/>
        <v>0</v>
      </c>
      <c r="E112" s="292">
        <f t="shared" si="38"/>
        <v>0</v>
      </c>
      <c r="F112" s="292">
        <f t="shared" si="38"/>
        <v>0</v>
      </c>
      <c r="G112" s="292">
        <f t="shared" si="38"/>
        <v>0</v>
      </c>
      <c r="H112" s="292">
        <f t="shared" si="38"/>
        <v>0</v>
      </c>
      <c r="I112" s="292">
        <f t="shared" si="35"/>
        <v>6176.1</v>
      </c>
      <c r="J112" s="112">
        <f>'1.Фінансовий результат'!F153</f>
        <v>16921.7</v>
      </c>
      <c r="K112" s="292">
        <v>1065.5999999999999</v>
      </c>
      <c r="L112" s="292">
        <v>1805.5</v>
      </c>
      <c r="M112" s="292">
        <v>1790</v>
      </c>
      <c r="N112" s="423">
        <v>1515</v>
      </c>
      <c r="O112" s="411">
        <f t="shared" si="16"/>
        <v>10745.6</v>
      </c>
      <c r="P112" s="428"/>
      <c r="Q112" s="405"/>
      <c r="R112" s="393"/>
      <c r="S112" s="393"/>
      <c r="T112" s="393"/>
      <c r="U112" s="393"/>
      <c r="V112" s="393"/>
      <c r="W112" s="393"/>
      <c r="X112" s="393"/>
      <c r="Y112" s="393"/>
      <c r="Z112" s="393"/>
      <c r="AA112" s="393"/>
      <c r="AB112" s="393"/>
      <c r="AC112" s="393"/>
      <c r="AD112" s="393"/>
      <c r="AE112" s="393"/>
      <c r="AF112" s="393"/>
      <c r="AG112" s="393"/>
      <c r="AH112" s="393"/>
      <c r="AI112" s="393"/>
      <c r="AJ112" s="393"/>
      <c r="AK112" s="393"/>
      <c r="AL112" s="393"/>
      <c r="AM112" s="393"/>
    </row>
    <row r="113" spans="1:39" s="120" customFormat="1" ht="18.75" customHeight="1">
      <c r="A113" s="174" t="s">
        <v>14</v>
      </c>
      <c r="B113" s="514">
        <v>1262</v>
      </c>
      <c r="C113" s="292">
        <f t="shared" ref="C113:H113" si="39">C18+C19+C60</f>
        <v>19.5</v>
      </c>
      <c r="D113" s="292">
        <f t="shared" si="39"/>
        <v>40.799999999999997</v>
      </c>
      <c r="E113" s="292">
        <f t="shared" si="39"/>
        <v>27.5</v>
      </c>
      <c r="F113" s="292">
        <f t="shared" si="39"/>
        <v>17.8</v>
      </c>
      <c r="G113" s="292">
        <f t="shared" si="39"/>
        <v>42.400000000000006</v>
      </c>
      <c r="H113" s="292">
        <f t="shared" si="39"/>
        <v>42.400000000000006</v>
      </c>
      <c r="I113" s="292">
        <f t="shared" si="35"/>
        <v>4890.0999999999995</v>
      </c>
      <c r="J113" s="112">
        <f>'1.Фінансовий результат'!F154</f>
        <v>4255.1000000000004</v>
      </c>
      <c r="K113" s="292">
        <v>1565.5</v>
      </c>
      <c r="L113" s="292">
        <v>1186.1999999999998</v>
      </c>
      <c r="M113" s="292">
        <v>454.49999999999994</v>
      </c>
      <c r="N113" s="423">
        <v>1683.8999999999999</v>
      </c>
      <c r="O113" s="411">
        <f t="shared" si="16"/>
        <v>-634.99999999999909</v>
      </c>
      <c r="P113" s="428"/>
      <c r="Q113" s="405"/>
      <c r="R113" s="393"/>
      <c r="S113" s="393"/>
      <c r="T113" s="393"/>
      <c r="U113" s="393"/>
      <c r="V113" s="393"/>
      <c r="W113" s="393"/>
      <c r="X113" s="393"/>
      <c r="Y113" s="393"/>
      <c r="Z113" s="393"/>
      <c r="AA113" s="393"/>
      <c r="AB113" s="393"/>
      <c r="AC113" s="393"/>
      <c r="AD113" s="393"/>
      <c r="AE113" s="393"/>
      <c r="AF113" s="393"/>
      <c r="AG113" s="393"/>
      <c r="AH113" s="393"/>
      <c r="AI113" s="393"/>
      <c r="AJ113" s="393"/>
      <c r="AK113" s="393"/>
      <c r="AL113" s="393"/>
      <c r="AM113" s="393"/>
    </row>
    <row r="114" spans="1:39" s="120" customFormat="1" ht="18.75" customHeight="1">
      <c r="A114" s="174" t="s">
        <v>4</v>
      </c>
      <c r="B114" s="514">
        <v>1270</v>
      </c>
      <c r="C114" s="292">
        <f t="shared" ref="C114:H115" si="40">C20+C40</f>
        <v>575</v>
      </c>
      <c r="D114" s="292">
        <f t="shared" si="40"/>
        <v>958.9</v>
      </c>
      <c r="E114" s="292">
        <f t="shared" si="40"/>
        <v>1253.5</v>
      </c>
      <c r="F114" s="292">
        <f t="shared" si="40"/>
        <v>1595</v>
      </c>
      <c r="G114" s="292">
        <f t="shared" si="40"/>
        <v>1891.1000000000001</v>
      </c>
      <c r="H114" s="292">
        <f t="shared" si="40"/>
        <v>1891.1000000000001</v>
      </c>
      <c r="I114" s="292">
        <f t="shared" si="35"/>
        <v>47871.9</v>
      </c>
      <c r="J114" s="112">
        <f>'1.Фінансовий результат'!F155</f>
        <v>51664.5</v>
      </c>
      <c r="K114" s="292">
        <v>12477.6</v>
      </c>
      <c r="L114" s="292">
        <v>11798.1</v>
      </c>
      <c r="M114" s="292">
        <v>11798.1</v>
      </c>
      <c r="N114" s="423">
        <v>11798.1</v>
      </c>
      <c r="O114" s="411">
        <f t="shared" si="16"/>
        <v>3792.5999999999985</v>
      </c>
      <c r="P114" s="428"/>
      <c r="Q114" s="405"/>
      <c r="R114" s="393"/>
      <c r="S114" s="393"/>
      <c r="T114" s="393"/>
      <c r="U114" s="393"/>
      <c r="V114" s="393"/>
      <c r="W114" s="393"/>
      <c r="X114" s="393"/>
      <c r="Y114" s="393"/>
      <c r="Z114" s="393"/>
      <c r="AA114" s="393"/>
      <c r="AB114" s="393"/>
      <c r="AC114" s="393"/>
      <c r="AD114" s="393"/>
      <c r="AE114" s="393"/>
      <c r="AF114" s="393"/>
      <c r="AG114" s="393"/>
      <c r="AH114" s="393"/>
      <c r="AI114" s="393"/>
      <c r="AJ114" s="393"/>
      <c r="AK114" s="393"/>
      <c r="AL114" s="393"/>
      <c r="AM114" s="393"/>
    </row>
    <row r="115" spans="1:39" s="120" customFormat="1" ht="18.75" customHeight="1">
      <c r="A115" s="174" t="s">
        <v>5</v>
      </c>
      <c r="B115" s="514">
        <v>1280</v>
      </c>
      <c r="C115" s="292">
        <f t="shared" si="40"/>
        <v>160.9</v>
      </c>
      <c r="D115" s="292">
        <f t="shared" si="40"/>
        <v>180</v>
      </c>
      <c r="E115" s="292">
        <f t="shared" si="40"/>
        <v>240.8</v>
      </c>
      <c r="F115" s="292">
        <f t="shared" si="40"/>
        <v>286.39999999999998</v>
      </c>
      <c r="G115" s="292">
        <f t="shared" si="40"/>
        <v>416</v>
      </c>
      <c r="H115" s="292">
        <f t="shared" si="40"/>
        <v>416</v>
      </c>
      <c r="I115" s="292">
        <f t="shared" si="35"/>
        <v>9573.9</v>
      </c>
      <c r="J115" s="112">
        <f>'1.Фінансовий результат'!F156</f>
        <v>11020.6</v>
      </c>
      <c r="K115" s="292">
        <v>2291.3000000000002</v>
      </c>
      <c r="L115" s="292">
        <v>2427.6</v>
      </c>
      <c r="M115" s="292">
        <v>2427.5</v>
      </c>
      <c r="N115" s="423">
        <v>2427.5</v>
      </c>
      <c r="O115" s="411">
        <f t="shared" si="16"/>
        <v>1446.7000000000007</v>
      </c>
      <c r="P115" s="428"/>
      <c r="Q115" s="405"/>
      <c r="R115" s="393"/>
      <c r="S115" s="393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3"/>
      <c r="AK115" s="393"/>
      <c r="AL115" s="393"/>
      <c r="AM115" s="393"/>
    </row>
    <row r="116" spans="1:39" s="120" customFormat="1" ht="18.75" customHeight="1">
      <c r="A116" s="174" t="s">
        <v>6</v>
      </c>
      <c r="B116" s="514">
        <v>1290</v>
      </c>
      <c r="C116" s="292">
        <f t="shared" ref="C116:H116" si="41">C23+C42+C84</f>
        <v>708.19999999999993</v>
      </c>
      <c r="D116" s="292">
        <f t="shared" si="41"/>
        <v>1307.5</v>
      </c>
      <c r="E116" s="292">
        <f t="shared" si="41"/>
        <v>2081.6999999999998</v>
      </c>
      <c r="F116" s="292">
        <f t="shared" si="41"/>
        <v>2404.8999999999996</v>
      </c>
      <c r="G116" s="292">
        <f t="shared" si="41"/>
        <v>3220.7</v>
      </c>
      <c r="H116" s="292">
        <f t="shared" si="41"/>
        <v>3220.7</v>
      </c>
      <c r="I116" s="292">
        <f t="shared" si="35"/>
        <v>870.4</v>
      </c>
      <c r="J116" s="112">
        <f>'1.Фінансовий результат'!F157</f>
        <v>1830.9499999999998</v>
      </c>
      <c r="K116" s="292">
        <v>0</v>
      </c>
      <c r="L116" s="292">
        <v>435.2</v>
      </c>
      <c r="M116" s="292">
        <v>217.6</v>
      </c>
      <c r="N116" s="423">
        <v>217.6</v>
      </c>
      <c r="O116" s="411">
        <f t="shared" si="16"/>
        <v>960.54999999999984</v>
      </c>
      <c r="P116" s="428"/>
      <c r="Q116" s="405"/>
      <c r="R116" s="393"/>
      <c r="S116" s="393"/>
      <c r="T116" s="393"/>
      <c r="U116" s="393"/>
      <c r="V116" s="393"/>
      <c r="W116" s="393"/>
      <c r="X116" s="393"/>
      <c r="Y116" s="393"/>
      <c r="Z116" s="393"/>
      <c r="AA116" s="393"/>
      <c r="AB116" s="393"/>
      <c r="AC116" s="393"/>
      <c r="AD116" s="393"/>
      <c r="AE116" s="393"/>
      <c r="AF116" s="393"/>
      <c r="AG116" s="393"/>
      <c r="AH116" s="393"/>
      <c r="AI116" s="393"/>
      <c r="AJ116" s="393"/>
      <c r="AK116" s="393"/>
      <c r="AL116" s="393"/>
      <c r="AM116" s="393"/>
    </row>
    <row r="117" spans="1:39" s="120" customFormat="1" ht="18.75" customHeight="1">
      <c r="A117" s="174" t="s">
        <v>15</v>
      </c>
      <c r="B117" s="514">
        <v>1300</v>
      </c>
      <c r="C117" s="292">
        <f t="shared" ref="C117:H117" si="42">C24+SUM(C43:C55)+C37+C39+C78-C60+C100-C84</f>
        <v>355.50000000000023</v>
      </c>
      <c r="D117" s="292">
        <f t="shared" si="42"/>
        <v>475</v>
      </c>
      <c r="E117" s="292">
        <f t="shared" si="42"/>
        <v>493.10000000000036</v>
      </c>
      <c r="F117" s="292">
        <f t="shared" si="42"/>
        <v>904.89999999999964</v>
      </c>
      <c r="G117" s="292">
        <f t="shared" si="42"/>
        <v>532.29999999999973</v>
      </c>
      <c r="H117" s="292">
        <f t="shared" si="42"/>
        <v>532.29999999999973</v>
      </c>
      <c r="I117" s="292">
        <f t="shared" si="35"/>
        <v>6027.8</v>
      </c>
      <c r="J117" s="112">
        <f>'1.Фінансовий результат'!F158</f>
        <v>10652.599999999999</v>
      </c>
      <c r="K117" s="292">
        <v>1157.8</v>
      </c>
      <c r="L117" s="292">
        <v>1861.5</v>
      </c>
      <c r="M117" s="292">
        <v>1707.2</v>
      </c>
      <c r="N117" s="423">
        <v>1301.3</v>
      </c>
      <c r="O117" s="411">
        <f t="shared" si="16"/>
        <v>4624.7999999999984</v>
      </c>
      <c r="P117" s="428"/>
      <c r="Q117" s="405"/>
      <c r="R117" s="393"/>
      <c r="S117" s="393"/>
      <c r="T117" s="393"/>
      <c r="U117" s="393"/>
      <c r="V117" s="393"/>
      <c r="W117" s="393"/>
      <c r="X117" s="393"/>
      <c r="Y117" s="393"/>
      <c r="Z117" s="393"/>
      <c r="AA117" s="393"/>
      <c r="AB117" s="393"/>
      <c r="AC117" s="393"/>
      <c r="AD117" s="393"/>
      <c r="AE117" s="393"/>
      <c r="AF117" s="393"/>
      <c r="AG117" s="393"/>
      <c r="AH117" s="393"/>
      <c r="AI117" s="393"/>
      <c r="AJ117" s="393"/>
      <c r="AK117" s="393"/>
      <c r="AL117" s="393"/>
      <c r="AM117" s="393"/>
    </row>
    <row r="118" spans="1:39" s="117" customFormat="1" ht="18.75" customHeight="1">
      <c r="A118" s="189" t="s">
        <v>45</v>
      </c>
      <c r="B118" s="424">
        <v>1310</v>
      </c>
      <c r="C118" s="293">
        <f t="shared" ref="C118:N118" si="43">C111+C114+C115+C116+C117</f>
        <v>1819.1000000000001</v>
      </c>
      <c r="D118" s="293">
        <f>D111+D114+D115+D116+D117</f>
        <v>2962.2</v>
      </c>
      <c r="E118" s="293">
        <f>E111+E114+E115+E116+E117</f>
        <v>4096.6000000000004</v>
      </c>
      <c r="F118" s="293">
        <f>F111+F114+F115+F116+F117</f>
        <v>5208.9999999999991</v>
      </c>
      <c r="G118" s="293">
        <f>G111+G114+G115+G116+G117</f>
        <v>6102.5</v>
      </c>
      <c r="H118" s="293">
        <f>H111+H114+H115+H116+H117</f>
        <v>6102.5</v>
      </c>
      <c r="I118" s="293">
        <f t="shared" si="35"/>
        <v>75410.199999999983</v>
      </c>
      <c r="J118" s="316">
        <f>'1.Фінансовий результат'!F159</f>
        <v>96345.450000000012</v>
      </c>
      <c r="K118" s="293">
        <f t="shared" si="43"/>
        <v>18557.8</v>
      </c>
      <c r="L118" s="293">
        <f t="shared" si="43"/>
        <v>19514.099999999999</v>
      </c>
      <c r="M118" s="293">
        <f t="shared" si="43"/>
        <v>18394.899999999998</v>
      </c>
      <c r="N118" s="404">
        <f t="shared" si="43"/>
        <v>18943.399999999998</v>
      </c>
      <c r="O118" s="441">
        <f t="shared" si="16"/>
        <v>20935.250000000029</v>
      </c>
      <c r="P118" s="428"/>
      <c r="Q118" s="405"/>
      <c r="R118" s="393"/>
      <c r="S118" s="393"/>
      <c r="T118" s="393"/>
      <c r="U118" s="393"/>
      <c r="V118" s="393"/>
      <c r="W118" s="393"/>
      <c r="X118" s="393"/>
      <c r="Y118" s="393"/>
      <c r="Z118" s="393"/>
      <c r="AA118" s="393"/>
      <c r="AB118" s="393"/>
      <c r="AC118" s="393"/>
      <c r="AD118" s="393"/>
      <c r="AE118" s="393"/>
      <c r="AF118" s="393"/>
      <c r="AG118" s="393"/>
      <c r="AH118" s="393"/>
      <c r="AI118" s="393"/>
      <c r="AJ118" s="393"/>
      <c r="AK118" s="393"/>
      <c r="AL118" s="393"/>
      <c r="AM118" s="393"/>
    </row>
    <row r="119" spans="1:39" s="117" customFormat="1" ht="18.75" customHeight="1">
      <c r="A119" s="318"/>
      <c r="B119" s="425"/>
      <c r="C119" s="426"/>
      <c r="D119" s="426"/>
      <c r="E119" s="426"/>
      <c r="F119" s="426"/>
      <c r="G119" s="426"/>
      <c r="H119" s="426"/>
      <c r="I119" s="426"/>
      <c r="J119" s="326"/>
      <c r="K119" s="426"/>
      <c r="L119" s="426"/>
      <c r="M119" s="426"/>
      <c r="N119" s="426"/>
      <c r="O119" s="442"/>
      <c r="P119" s="433"/>
      <c r="Q119" s="405"/>
      <c r="R119" s="393"/>
      <c r="S119" s="393"/>
      <c r="T119" s="393"/>
      <c r="U119" s="393"/>
      <c r="V119" s="393"/>
      <c r="W119" s="393"/>
      <c r="X119" s="393"/>
      <c r="Y119" s="393"/>
      <c r="Z119" s="393"/>
      <c r="AA119" s="393"/>
      <c r="AB119" s="393"/>
      <c r="AC119" s="393"/>
      <c r="AD119" s="393"/>
      <c r="AE119" s="393"/>
      <c r="AF119" s="393"/>
      <c r="AG119" s="393"/>
      <c r="AH119" s="393"/>
      <c r="AI119" s="393"/>
      <c r="AJ119" s="393"/>
      <c r="AK119" s="393"/>
      <c r="AL119" s="393"/>
      <c r="AM119" s="393"/>
    </row>
    <row r="120" spans="1:39" s="117" customFormat="1" ht="18.75" customHeight="1">
      <c r="A120" s="529" t="s">
        <v>130</v>
      </c>
      <c r="B120" s="530"/>
      <c r="C120" s="530"/>
      <c r="D120" s="530"/>
      <c r="E120" s="530"/>
      <c r="F120" s="530"/>
      <c r="G120" s="530"/>
      <c r="H120" s="530"/>
      <c r="I120" s="530"/>
      <c r="J120" s="530"/>
      <c r="K120" s="530"/>
      <c r="L120" s="530"/>
      <c r="M120" s="530"/>
      <c r="N120" s="531"/>
      <c r="O120" s="411">
        <f t="shared" ref="O120:O121" si="44">J120-I120</f>
        <v>0</v>
      </c>
      <c r="P120" s="428"/>
      <c r="Q120" s="405"/>
      <c r="R120" s="393"/>
      <c r="S120" s="393"/>
      <c r="T120" s="393"/>
      <c r="U120" s="393"/>
      <c r="V120" s="393"/>
      <c r="W120" s="393"/>
      <c r="X120" s="393"/>
      <c r="Y120" s="393"/>
      <c r="Z120" s="393"/>
      <c r="AA120" s="393"/>
      <c r="AB120" s="393"/>
      <c r="AC120" s="393"/>
      <c r="AD120" s="393"/>
      <c r="AE120" s="393"/>
      <c r="AF120" s="393"/>
      <c r="AG120" s="393"/>
      <c r="AH120" s="393"/>
      <c r="AI120" s="393"/>
      <c r="AJ120" s="393"/>
      <c r="AK120" s="393"/>
      <c r="AL120" s="393"/>
      <c r="AM120" s="393"/>
    </row>
    <row r="121" spans="1:39" s="117" customFormat="1" ht="35.450000000000003" customHeight="1">
      <c r="A121" s="174" t="s">
        <v>189</v>
      </c>
      <c r="B121" s="515">
        <v>2140</v>
      </c>
      <c r="C121" s="293"/>
      <c r="D121" s="293"/>
      <c r="E121" s="293"/>
      <c r="F121" s="293"/>
      <c r="G121" s="293"/>
      <c r="H121" s="293"/>
      <c r="I121" s="293">
        <f t="shared" ref="I121:I122" si="45">SUM(K121:N121)</f>
        <v>8120</v>
      </c>
      <c r="J121" s="316">
        <f>'Фінплан - зведені показники'!F36</f>
        <v>7806.4</v>
      </c>
      <c r="K121" s="293">
        <v>1960</v>
      </c>
      <c r="L121" s="293">
        <v>2100</v>
      </c>
      <c r="M121" s="293">
        <v>2100</v>
      </c>
      <c r="N121" s="293">
        <v>1960</v>
      </c>
      <c r="O121" s="441">
        <f t="shared" si="44"/>
        <v>-313.60000000000036</v>
      </c>
      <c r="P121" s="428"/>
      <c r="Q121" s="405"/>
      <c r="R121" s="393"/>
      <c r="S121" s="393"/>
      <c r="T121" s="393"/>
      <c r="U121" s="393"/>
      <c r="V121" s="393"/>
      <c r="W121" s="393"/>
      <c r="X121" s="393"/>
      <c r="Y121" s="393"/>
      <c r="Z121" s="393"/>
      <c r="AA121" s="393"/>
      <c r="AB121" s="393"/>
      <c r="AC121" s="393"/>
      <c r="AD121" s="393"/>
      <c r="AE121" s="393"/>
      <c r="AF121" s="393"/>
      <c r="AG121" s="393"/>
      <c r="AH121" s="393"/>
      <c r="AI121" s="393"/>
      <c r="AJ121" s="393"/>
      <c r="AK121" s="393"/>
      <c r="AL121" s="393"/>
      <c r="AM121" s="393"/>
    </row>
    <row r="122" spans="1:39" s="117" customFormat="1" ht="33" customHeight="1">
      <c r="A122" s="174" t="s">
        <v>74</v>
      </c>
      <c r="B122" s="515">
        <v>2150</v>
      </c>
      <c r="C122" s="293"/>
      <c r="D122" s="293"/>
      <c r="E122" s="293"/>
      <c r="F122" s="293"/>
      <c r="G122" s="293"/>
      <c r="H122" s="293"/>
      <c r="I122" s="293">
        <f t="shared" si="45"/>
        <v>9573.9</v>
      </c>
      <c r="J122" s="316">
        <f>'Фінплан - зведені показники'!F37</f>
        <v>10893.8</v>
      </c>
      <c r="K122" s="293">
        <v>2291.3000000000002</v>
      </c>
      <c r="L122" s="293">
        <v>2427.6</v>
      </c>
      <c r="M122" s="293">
        <v>2427.5</v>
      </c>
      <c r="N122" s="293">
        <v>2427.5</v>
      </c>
      <c r="O122" s="441">
        <f>J122-I122</f>
        <v>1319.8999999999996</v>
      </c>
      <c r="P122" s="429" t="s">
        <v>491</v>
      </c>
      <c r="Q122" s="405"/>
      <c r="R122" s="393"/>
      <c r="S122" s="393"/>
      <c r="T122" s="393"/>
      <c r="U122" s="393"/>
      <c r="V122" s="393"/>
      <c r="W122" s="393"/>
      <c r="X122" s="393"/>
      <c r="Y122" s="393"/>
      <c r="Z122" s="393"/>
      <c r="AA122" s="393"/>
      <c r="AB122" s="393"/>
      <c r="AC122" s="393"/>
      <c r="AD122" s="393"/>
      <c r="AE122" s="393"/>
      <c r="AF122" s="393"/>
      <c r="AG122" s="393"/>
      <c r="AH122" s="393"/>
      <c r="AI122" s="393"/>
      <c r="AJ122" s="393"/>
      <c r="AK122" s="393"/>
      <c r="AL122" s="393"/>
      <c r="AM122" s="393"/>
    </row>
    <row r="123" spans="1:39" s="117" customFormat="1" ht="18.75" customHeight="1">
      <c r="A123" s="189" t="s">
        <v>198</v>
      </c>
      <c r="B123" s="424">
        <v>2200</v>
      </c>
      <c r="C123" s="293"/>
      <c r="D123" s="293"/>
      <c r="E123" s="293"/>
      <c r="F123" s="293"/>
      <c r="G123" s="293"/>
      <c r="H123" s="293"/>
      <c r="I123" s="293">
        <f>SUM(I121:I122)</f>
        <v>17693.900000000001</v>
      </c>
      <c r="J123" s="293">
        <f>SUM(J121:J122)</f>
        <v>18700.199999999997</v>
      </c>
      <c r="K123" s="293"/>
      <c r="L123" s="293"/>
      <c r="M123" s="293"/>
      <c r="N123" s="293"/>
      <c r="O123" s="441">
        <f>J123-I123</f>
        <v>1006.2999999999956</v>
      </c>
      <c r="P123" s="428"/>
      <c r="Q123" s="405"/>
      <c r="R123" s="393"/>
      <c r="S123" s="393"/>
      <c r="T123" s="393"/>
      <c r="U123" s="393"/>
      <c r="V123" s="393"/>
      <c r="W123" s="393"/>
      <c r="X123" s="393"/>
      <c r="Y123" s="393"/>
      <c r="Z123" s="393"/>
      <c r="AA123" s="393"/>
      <c r="AB123" s="393"/>
      <c r="AC123" s="393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</row>
    <row r="124" spans="1:39" s="117" customFormat="1" ht="18.75" customHeight="1">
      <c r="A124" s="318"/>
      <c r="B124" s="425"/>
      <c r="C124" s="426"/>
      <c r="D124" s="426"/>
      <c r="E124" s="426"/>
      <c r="F124" s="426"/>
      <c r="G124" s="426"/>
      <c r="H124" s="426"/>
      <c r="I124" s="426"/>
      <c r="J124" s="326"/>
      <c r="K124" s="426"/>
      <c r="L124" s="426"/>
      <c r="M124" s="426"/>
      <c r="N124" s="426"/>
      <c r="O124" s="442"/>
      <c r="P124" s="433"/>
      <c r="Q124" s="405"/>
      <c r="R124" s="393"/>
      <c r="S124" s="393"/>
      <c r="T124" s="393"/>
      <c r="U124" s="393"/>
      <c r="V124" s="393"/>
      <c r="W124" s="393"/>
      <c r="X124" s="393"/>
      <c r="Y124" s="393"/>
      <c r="Z124" s="393"/>
      <c r="AA124" s="393"/>
      <c r="AB124" s="393"/>
      <c r="AC124" s="393"/>
      <c r="AD124" s="393"/>
      <c r="AE124" s="393"/>
      <c r="AF124" s="393"/>
      <c r="AG124" s="393"/>
      <c r="AH124" s="393"/>
      <c r="AI124" s="393"/>
      <c r="AJ124" s="393"/>
      <c r="AK124" s="393"/>
      <c r="AL124" s="393"/>
      <c r="AM124" s="393"/>
    </row>
    <row r="125" spans="1:39" s="117" customFormat="1" ht="18.75" customHeight="1">
      <c r="A125" s="529" t="s">
        <v>128</v>
      </c>
      <c r="B125" s="530"/>
      <c r="C125" s="530"/>
      <c r="D125" s="530"/>
      <c r="E125" s="530"/>
      <c r="F125" s="530"/>
      <c r="G125" s="530"/>
      <c r="H125" s="530"/>
      <c r="I125" s="530"/>
      <c r="J125" s="530"/>
      <c r="K125" s="530"/>
      <c r="L125" s="530"/>
      <c r="M125" s="530"/>
      <c r="N125" s="531"/>
      <c r="O125" s="441"/>
      <c r="P125" s="428"/>
      <c r="Q125" s="405"/>
      <c r="R125" s="393"/>
      <c r="S125" s="393"/>
      <c r="T125" s="393"/>
      <c r="U125" s="393"/>
      <c r="V125" s="393"/>
      <c r="W125" s="393"/>
      <c r="X125" s="393"/>
      <c r="Y125" s="393"/>
      <c r="Z125" s="393"/>
      <c r="AA125" s="393"/>
      <c r="AB125" s="393"/>
      <c r="AC125" s="393"/>
      <c r="AD125" s="393"/>
      <c r="AE125" s="393"/>
      <c r="AF125" s="393"/>
      <c r="AG125" s="393"/>
      <c r="AH125" s="393"/>
      <c r="AI125" s="393"/>
      <c r="AJ125" s="393"/>
      <c r="AK125" s="393"/>
      <c r="AL125" s="393"/>
      <c r="AM125" s="393"/>
    </row>
    <row r="126" spans="1:39" s="117" customFormat="1" ht="18.75" customHeight="1">
      <c r="A126" s="174" t="s">
        <v>122</v>
      </c>
      <c r="B126" s="515">
        <v>3600</v>
      </c>
      <c r="C126" s="450"/>
      <c r="D126" s="450"/>
      <c r="E126" s="450"/>
      <c r="F126" s="450"/>
      <c r="G126" s="450"/>
      <c r="H126" s="450"/>
      <c r="I126" s="516" t="s">
        <v>485</v>
      </c>
      <c r="J126" s="517" t="s">
        <v>485</v>
      </c>
      <c r="K126" s="516" t="s">
        <v>485</v>
      </c>
      <c r="L126" s="516" t="s">
        <v>485</v>
      </c>
      <c r="M126" s="516" t="s">
        <v>485</v>
      </c>
      <c r="N126" s="516" t="s">
        <v>485</v>
      </c>
      <c r="O126" s="518" t="s">
        <v>485</v>
      </c>
      <c r="P126" s="428">
        <v>0</v>
      </c>
      <c r="Q126" s="405"/>
      <c r="R126" s="393"/>
      <c r="S126" s="393"/>
      <c r="T126" s="393"/>
      <c r="U126" s="393"/>
      <c r="V126" s="393"/>
      <c r="W126" s="393"/>
      <c r="X126" s="393"/>
      <c r="Y126" s="393"/>
      <c r="Z126" s="393"/>
      <c r="AA126" s="393"/>
      <c r="AB126" s="393"/>
      <c r="AC126" s="393"/>
      <c r="AD126" s="393"/>
      <c r="AE126" s="393"/>
      <c r="AF126" s="393"/>
      <c r="AG126" s="393"/>
      <c r="AH126" s="393"/>
      <c r="AI126" s="393"/>
      <c r="AJ126" s="393"/>
      <c r="AK126" s="393"/>
      <c r="AL126" s="393"/>
      <c r="AM126" s="393"/>
    </row>
    <row r="127" spans="1:39" s="117" customFormat="1" ht="18.75" customHeight="1">
      <c r="A127" s="174" t="s">
        <v>125</v>
      </c>
      <c r="B127" s="515">
        <v>3620</v>
      </c>
      <c r="C127" s="450"/>
      <c r="D127" s="450"/>
      <c r="E127" s="450"/>
      <c r="F127" s="450"/>
      <c r="G127" s="450"/>
      <c r="H127" s="450"/>
      <c r="I127" s="516" t="s">
        <v>485</v>
      </c>
      <c r="J127" s="517" t="s">
        <v>485</v>
      </c>
      <c r="K127" s="516" t="s">
        <v>485</v>
      </c>
      <c r="L127" s="516" t="s">
        <v>485</v>
      </c>
      <c r="M127" s="516" t="s">
        <v>485</v>
      </c>
      <c r="N127" s="516" t="s">
        <v>485</v>
      </c>
      <c r="O127" s="518" t="s">
        <v>485</v>
      </c>
      <c r="P127" s="428">
        <v>0</v>
      </c>
      <c r="Q127" s="405"/>
      <c r="R127" s="393"/>
      <c r="S127" s="393"/>
      <c r="T127" s="393"/>
      <c r="U127" s="393"/>
      <c r="V127" s="393"/>
      <c r="W127" s="393"/>
      <c r="X127" s="393"/>
      <c r="Y127" s="393"/>
      <c r="Z127" s="393"/>
      <c r="AA127" s="393"/>
      <c r="AB127" s="393"/>
      <c r="AC127" s="393"/>
      <c r="AD127" s="393"/>
      <c r="AE127" s="393"/>
      <c r="AF127" s="393"/>
      <c r="AG127" s="393"/>
      <c r="AH127" s="393"/>
      <c r="AI127" s="393"/>
      <c r="AJ127" s="393"/>
      <c r="AK127" s="393"/>
      <c r="AL127" s="393"/>
      <c r="AM127" s="393"/>
    </row>
    <row r="128" spans="1:39" s="117" customFormat="1" ht="18.75" customHeight="1">
      <c r="A128" s="433"/>
      <c r="B128" s="433"/>
      <c r="C128" s="433"/>
      <c r="D128" s="433"/>
      <c r="E128" s="433"/>
      <c r="F128" s="433"/>
      <c r="G128" s="433"/>
      <c r="H128" s="433"/>
      <c r="I128" s="433"/>
      <c r="J128" s="433"/>
      <c r="K128" s="433"/>
      <c r="L128" s="433"/>
      <c r="M128" s="433"/>
      <c r="N128" s="433"/>
      <c r="O128" s="433"/>
      <c r="P128" s="433"/>
      <c r="Q128" s="405"/>
      <c r="R128" s="393"/>
      <c r="S128" s="393"/>
      <c r="T128" s="393"/>
      <c r="U128" s="393"/>
      <c r="V128" s="393"/>
      <c r="W128" s="393"/>
      <c r="X128" s="393"/>
      <c r="Y128" s="393"/>
      <c r="Z128" s="393"/>
      <c r="AA128" s="393"/>
      <c r="AB128" s="393"/>
      <c r="AC128" s="393"/>
      <c r="AD128" s="393"/>
      <c r="AE128" s="393"/>
      <c r="AF128" s="393"/>
      <c r="AG128" s="393"/>
      <c r="AH128" s="393"/>
      <c r="AI128" s="393"/>
      <c r="AJ128" s="393"/>
      <c r="AK128" s="393"/>
      <c r="AL128" s="393"/>
      <c r="AM128" s="393"/>
    </row>
    <row r="129" spans="1:39" s="117" customFormat="1" ht="18.75" customHeight="1">
      <c r="A129" s="529" t="s">
        <v>174</v>
      </c>
      <c r="B129" s="530"/>
      <c r="C129" s="530"/>
      <c r="D129" s="530"/>
      <c r="E129" s="530"/>
      <c r="F129" s="530"/>
      <c r="G129" s="530"/>
      <c r="H129" s="530"/>
      <c r="I129" s="530"/>
      <c r="J129" s="530"/>
      <c r="K129" s="530"/>
      <c r="L129" s="530"/>
      <c r="M129" s="530"/>
      <c r="N129" s="531"/>
      <c r="O129" s="441"/>
      <c r="P129" s="428"/>
      <c r="Q129" s="405"/>
      <c r="R129" s="393"/>
      <c r="S129" s="393"/>
      <c r="T129" s="393"/>
      <c r="U129" s="393"/>
      <c r="V129" s="393"/>
      <c r="W129" s="393"/>
      <c r="X129" s="393"/>
      <c r="Y129" s="393"/>
      <c r="Z129" s="393"/>
      <c r="AA129" s="393"/>
      <c r="AB129" s="393"/>
      <c r="AC129" s="393"/>
      <c r="AD129" s="393"/>
      <c r="AE129" s="393"/>
      <c r="AF129" s="393"/>
      <c r="AG129" s="393"/>
      <c r="AH129" s="393"/>
      <c r="AI129" s="393"/>
      <c r="AJ129" s="393"/>
      <c r="AK129" s="393"/>
      <c r="AL129" s="393"/>
      <c r="AM129" s="393"/>
    </row>
    <row r="130" spans="1:39" s="117" customFormat="1" ht="18.75" customHeight="1">
      <c r="A130" s="174" t="s">
        <v>173</v>
      </c>
      <c r="B130" s="515">
        <v>4000</v>
      </c>
      <c r="C130" s="450"/>
      <c r="D130" s="450"/>
      <c r="E130" s="450"/>
      <c r="F130" s="450"/>
      <c r="G130" s="450"/>
      <c r="H130" s="450"/>
      <c r="I130" s="450">
        <f>SUM(K130:N130)</f>
        <v>4400</v>
      </c>
      <c r="J130" s="446">
        <f>'Фінплан - зведені показники'!F47</f>
        <v>3000</v>
      </c>
      <c r="K130" s="450" t="s">
        <v>485</v>
      </c>
      <c r="L130" s="450">
        <v>3000</v>
      </c>
      <c r="M130" s="450">
        <v>1400</v>
      </c>
      <c r="N130" s="450" t="s">
        <v>485</v>
      </c>
      <c r="O130" s="448">
        <f>J130-I130</f>
        <v>-1400</v>
      </c>
      <c r="P130" s="428" t="s">
        <v>488</v>
      </c>
      <c r="Q130" s="405"/>
      <c r="R130" s="393"/>
      <c r="S130" s="393"/>
      <c r="T130" s="393"/>
      <c r="U130" s="393"/>
      <c r="V130" s="393"/>
      <c r="W130" s="393"/>
      <c r="X130" s="393"/>
      <c r="Y130" s="393"/>
      <c r="Z130" s="393"/>
      <c r="AA130" s="393"/>
      <c r="AB130" s="393"/>
      <c r="AC130" s="393"/>
      <c r="AD130" s="393"/>
      <c r="AE130" s="393"/>
      <c r="AF130" s="393"/>
      <c r="AG130" s="393"/>
      <c r="AH130" s="393"/>
      <c r="AI130" s="393"/>
      <c r="AJ130" s="393"/>
      <c r="AK130" s="393"/>
      <c r="AL130" s="393"/>
      <c r="AM130" s="393"/>
    </row>
    <row r="131" spans="1:39" s="117" customFormat="1" ht="18.75" customHeight="1">
      <c r="A131" s="443"/>
      <c r="B131" s="515"/>
      <c r="C131" s="450"/>
      <c r="D131" s="450"/>
      <c r="E131" s="450"/>
      <c r="F131" s="450"/>
      <c r="G131" s="450"/>
      <c r="H131" s="450"/>
      <c r="I131" s="450"/>
      <c r="J131" s="446"/>
      <c r="K131" s="450"/>
      <c r="L131" s="450"/>
      <c r="M131" s="450"/>
      <c r="N131" s="450"/>
      <c r="O131" s="448"/>
      <c r="P131" s="428"/>
      <c r="Q131" s="405"/>
      <c r="R131" s="393"/>
      <c r="S131" s="393"/>
      <c r="T131" s="393"/>
      <c r="U131" s="393"/>
      <c r="V131" s="393"/>
      <c r="W131" s="393"/>
      <c r="X131" s="393"/>
      <c r="Y131" s="393"/>
      <c r="Z131" s="393"/>
      <c r="AA131" s="393"/>
      <c r="AB131" s="393"/>
      <c r="AC131" s="393"/>
      <c r="AD131" s="393"/>
      <c r="AE131" s="393"/>
      <c r="AF131" s="393"/>
      <c r="AG131" s="393"/>
      <c r="AH131" s="393"/>
      <c r="AI131" s="393"/>
      <c r="AJ131" s="393"/>
      <c r="AK131" s="393"/>
      <c r="AL131" s="393"/>
      <c r="AM131" s="393"/>
    </row>
    <row r="132" spans="1:39" s="117" customFormat="1" ht="18.75" customHeight="1">
      <c r="A132" s="520"/>
      <c r="B132" s="425"/>
      <c r="C132" s="426"/>
      <c r="D132" s="426"/>
      <c r="E132" s="426"/>
      <c r="F132" s="426"/>
      <c r="G132" s="426"/>
      <c r="H132" s="426"/>
      <c r="I132" s="426"/>
      <c r="J132" s="326"/>
      <c r="K132" s="426"/>
      <c r="L132" s="426"/>
      <c r="M132" s="426"/>
      <c r="N132" s="426"/>
      <c r="O132" s="442"/>
      <c r="P132" s="433"/>
      <c r="Q132" s="405"/>
      <c r="R132" s="393"/>
      <c r="S132" s="393"/>
      <c r="T132" s="393"/>
      <c r="U132" s="393"/>
      <c r="V132" s="393"/>
      <c r="W132" s="393"/>
      <c r="X132" s="393"/>
      <c r="Y132" s="393"/>
      <c r="Z132" s="393"/>
      <c r="AA132" s="393"/>
      <c r="AB132" s="393"/>
      <c r="AC132" s="393"/>
      <c r="AD132" s="393"/>
      <c r="AE132" s="393"/>
      <c r="AF132" s="393"/>
      <c r="AG132" s="393"/>
      <c r="AH132" s="393"/>
      <c r="AI132" s="393"/>
      <c r="AJ132" s="393"/>
      <c r="AK132" s="393"/>
      <c r="AL132" s="393"/>
      <c r="AM132" s="393"/>
    </row>
    <row r="133" spans="1:39" ht="30" customHeight="1">
      <c r="A133" s="436" t="s">
        <v>482</v>
      </c>
      <c r="B133" s="434"/>
      <c r="C133" s="526" t="s">
        <v>190</v>
      </c>
      <c r="D133" s="526"/>
      <c r="E133" s="526"/>
      <c r="F133" s="526"/>
      <c r="G133" s="435"/>
      <c r="H133" s="527"/>
      <c r="I133" s="527"/>
      <c r="J133" s="527"/>
      <c r="K133" s="435"/>
      <c r="L133" s="527" t="s">
        <v>483</v>
      </c>
      <c r="M133" s="527"/>
      <c r="N133" s="527"/>
      <c r="O133" s="440"/>
      <c r="P133" s="519" t="s">
        <v>483</v>
      </c>
      <c r="R133" s="393"/>
      <c r="S133" s="393"/>
      <c r="T133" s="393"/>
      <c r="U133" s="393"/>
      <c r="V133" s="393"/>
      <c r="W133" s="393"/>
      <c r="X133" s="393"/>
      <c r="Y133" s="393"/>
      <c r="Z133" s="393"/>
      <c r="AA133" s="393"/>
      <c r="AB133" s="393"/>
      <c r="AC133" s="393"/>
      <c r="AD133" s="393"/>
      <c r="AE133" s="393"/>
      <c r="AF133" s="393"/>
      <c r="AG133" s="393"/>
      <c r="AH133" s="393"/>
      <c r="AI133" s="393"/>
      <c r="AJ133" s="393"/>
      <c r="AK133" s="393"/>
      <c r="AL133" s="393"/>
      <c r="AM133" s="393"/>
    </row>
    <row r="134" spans="1:39" s="2" customFormat="1" ht="17.45" customHeight="1">
      <c r="A134" s="437" t="s">
        <v>68</v>
      </c>
      <c r="B134" s="438"/>
      <c r="C134" s="528" t="s">
        <v>227</v>
      </c>
      <c r="D134" s="528"/>
      <c r="E134" s="528"/>
      <c r="F134" s="528"/>
      <c r="G134" s="439"/>
      <c r="H134" s="525" t="s">
        <v>484</v>
      </c>
      <c r="I134" s="525"/>
      <c r="J134" s="525"/>
      <c r="K134" s="439"/>
      <c r="L134" s="525" t="s">
        <v>89</v>
      </c>
      <c r="M134" s="525"/>
      <c r="N134" s="525"/>
      <c r="O134" s="440"/>
      <c r="P134" s="54" t="s">
        <v>486</v>
      </c>
      <c r="R134" s="393"/>
      <c r="S134" s="393"/>
      <c r="T134" s="393"/>
      <c r="U134" s="393"/>
      <c r="V134" s="393"/>
      <c r="W134" s="393"/>
      <c r="X134" s="393"/>
      <c r="Y134" s="393"/>
      <c r="Z134" s="393"/>
      <c r="AA134" s="393"/>
      <c r="AB134" s="393"/>
      <c r="AC134" s="393"/>
      <c r="AD134" s="393"/>
      <c r="AE134" s="393"/>
      <c r="AF134" s="393"/>
      <c r="AG134" s="393"/>
      <c r="AH134" s="393"/>
      <c r="AI134" s="393"/>
      <c r="AJ134" s="393"/>
      <c r="AK134" s="393"/>
      <c r="AL134" s="393"/>
      <c r="AM134" s="393"/>
    </row>
    <row r="135" spans="1:39" ht="20.100000000000001" customHeight="1">
      <c r="A135" s="225"/>
      <c r="C135" s="368"/>
      <c r="D135" s="368"/>
      <c r="E135" s="368"/>
      <c r="F135" s="368"/>
      <c r="G135" s="368"/>
      <c r="H135" s="368">
        <f>(H114+H115)/(H109-H19)*100</f>
        <v>33.225801805953608</v>
      </c>
      <c r="I135" s="368"/>
      <c r="J135" s="368"/>
      <c r="K135" s="427"/>
      <c r="L135" s="427"/>
      <c r="M135" s="427"/>
      <c r="N135" s="427"/>
      <c r="O135" s="440"/>
      <c r="R135" s="393"/>
      <c r="S135" s="393"/>
      <c r="T135" s="393"/>
      <c r="U135" s="393"/>
      <c r="V135" s="393"/>
      <c r="W135" s="393"/>
      <c r="X135" s="393"/>
      <c r="Y135" s="393"/>
      <c r="Z135" s="393"/>
      <c r="AA135" s="393"/>
      <c r="AB135" s="393"/>
      <c r="AC135" s="393"/>
      <c r="AD135" s="393"/>
      <c r="AE135" s="393"/>
      <c r="AF135" s="393"/>
      <c r="AG135" s="393"/>
      <c r="AH135" s="393"/>
      <c r="AI135" s="393"/>
      <c r="AJ135" s="393"/>
      <c r="AK135" s="393"/>
      <c r="AL135" s="393"/>
      <c r="AM135" s="393"/>
    </row>
    <row r="136" spans="1:39" ht="19.5">
      <c r="A136" s="225"/>
      <c r="D136" s="295"/>
      <c r="E136" s="295"/>
      <c r="F136" s="295"/>
      <c r="G136" s="295"/>
      <c r="H136" s="295">
        <f>H113/H109*100</f>
        <v>0.61062545904921028</v>
      </c>
      <c r="I136" s="295"/>
      <c r="J136" s="295"/>
      <c r="K136" s="21"/>
      <c r="L136" s="21"/>
      <c r="M136" s="21"/>
      <c r="N136" s="21"/>
      <c r="O136" s="440"/>
      <c r="R136" s="393"/>
      <c r="S136" s="393"/>
      <c r="T136" s="393"/>
      <c r="U136" s="393"/>
      <c r="V136" s="393"/>
      <c r="W136" s="393"/>
      <c r="X136" s="393"/>
      <c r="Y136" s="393"/>
      <c r="Z136" s="393"/>
      <c r="AA136" s="393"/>
      <c r="AB136" s="393"/>
      <c r="AC136" s="393"/>
      <c r="AD136" s="393"/>
      <c r="AE136" s="393"/>
      <c r="AF136" s="393"/>
      <c r="AG136" s="393"/>
      <c r="AH136" s="393"/>
      <c r="AI136" s="393"/>
      <c r="AJ136" s="393"/>
      <c r="AK136" s="393"/>
      <c r="AL136" s="393"/>
      <c r="AM136" s="393"/>
    </row>
    <row r="137" spans="1:39" ht="19.5">
      <c r="A137" s="225"/>
      <c r="C137" s="368"/>
      <c r="D137" s="368"/>
      <c r="E137" s="368"/>
      <c r="F137" s="368"/>
      <c r="G137" s="368"/>
      <c r="H137" s="368">
        <f>(H88/(H108-H10/1.2))*100</f>
        <v>68.040101449151592</v>
      </c>
      <c r="I137" s="368"/>
      <c r="J137" s="368"/>
      <c r="K137" s="427"/>
      <c r="L137" s="427"/>
      <c r="M137" s="427"/>
      <c r="N137" s="427"/>
      <c r="O137" s="440"/>
      <c r="R137" s="393"/>
      <c r="S137" s="393"/>
      <c r="T137" s="393"/>
      <c r="U137" s="393"/>
      <c r="V137" s="393"/>
      <c r="W137" s="393"/>
      <c r="X137" s="393"/>
      <c r="Y137" s="393"/>
      <c r="Z137" s="393"/>
      <c r="AA137" s="393"/>
      <c r="AB137" s="393"/>
      <c r="AC137" s="393"/>
      <c r="AD137" s="393"/>
      <c r="AE137" s="393"/>
      <c r="AF137" s="393"/>
      <c r="AG137" s="393"/>
      <c r="AH137" s="393"/>
      <c r="AI137" s="393"/>
      <c r="AJ137" s="393"/>
      <c r="AK137" s="393"/>
      <c r="AL137" s="393"/>
      <c r="AM137" s="393"/>
    </row>
    <row r="138" spans="1:39" ht="19.5">
      <c r="A138" s="225"/>
      <c r="C138" s="368"/>
      <c r="D138" s="368"/>
      <c r="E138" s="368"/>
      <c r="F138" s="368"/>
      <c r="G138" s="368"/>
      <c r="H138" s="368"/>
      <c r="I138" s="368"/>
      <c r="J138" s="427"/>
      <c r="K138" s="427"/>
      <c r="L138" s="427"/>
      <c r="M138" s="427"/>
      <c r="N138" s="427"/>
      <c r="O138" s="440"/>
      <c r="R138" s="393"/>
      <c r="S138" s="393"/>
      <c r="T138" s="393"/>
      <c r="U138" s="393"/>
      <c r="V138" s="393"/>
      <c r="W138" s="393"/>
      <c r="X138" s="393"/>
      <c r="Y138" s="393"/>
      <c r="Z138" s="393"/>
      <c r="AA138" s="393"/>
      <c r="AB138" s="393"/>
      <c r="AC138" s="393"/>
      <c r="AD138" s="393"/>
      <c r="AE138" s="393"/>
      <c r="AF138" s="393"/>
      <c r="AG138" s="393"/>
      <c r="AH138" s="393"/>
      <c r="AI138" s="393"/>
      <c r="AJ138" s="393"/>
      <c r="AK138" s="393"/>
      <c r="AL138" s="393"/>
      <c r="AM138" s="393"/>
    </row>
    <row r="139" spans="1:39" ht="19.5">
      <c r="A139" s="225"/>
      <c r="C139" s="368"/>
      <c r="D139" s="368"/>
      <c r="E139" s="368"/>
      <c r="F139" s="368"/>
      <c r="G139" s="368"/>
      <c r="H139" s="368"/>
      <c r="I139" s="368"/>
      <c r="J139" s="427"/>
      <c r="K139" s="427"/>
      <c r="L139" s="427"/>
      <c r="M139" s="427"/>
      <c r="N139" s="427"/>
      <c r="O139" s="440"/>
      <c r="R139" s="393"/>
      <c r="S139" s="393"/>
      <c r="T139" s="393"/>
      <c r="U139" s="393"/>
      <c r="V139" s="393"/>
      <c r="W139" s="393"/>
      <c r="X139" s="393"/>
      <c r="Y139" s="393"/>
      <c r="Z139" s="393"/>
      <c r="AA139" s="393"/>
      <c r="AB139" s="393"/>
      <c r="AC139" s="393"/>
      <c r="AD139" s="393"/>
      <c r="AE139" s="393"/>
      <c r="AF139" s="393"/>
      <c r="AG139" s="393"/>
      <c r="AH139" s="393"/>
      <c r="AI139" s="393"/>
      <c r="AJ139" s="393"/>
      <c r="AK139" s="393"/>
      <c r="AL139" s="393"/>
      <c r="AM139" s="393"/>
    </row>
    <row r="140" spans="1:39" ht="19.5">
      <c r="A140" s="225"/>
      <c r="C140" s="368"/>
      <c r="D140" s="368"/>
      <c r="E140" s="368"/>
      <c r="F140" s="368"/>
      <c r="G140" s="368"/>
      <c r="H140" s="368"/>
      <c r="I140" s="368"/>
      <c r="J140" s="427"/>
      <c r="K140" s="427"/>
      <c r="L140" s="427"/>
      <c r="M140" s="427"/>
      <c r="N140" s="427"/>
      <c r="O140" s="440"/>
      <c r="R140" s="393"/>
      <c r="S140" s="393"/>
      <c r="T140" s="393"/>
      <c r="U140" s="393"/>
      <c r="V140" s="393"/>
      <c r="W140" s="393"/>
      <c r="X140" s="393"/>
      <c r="Y140" s="393"/>
      <c r="Z140" s="393"/>
      <c r="AA140" s="393"/>
      <c r="AB140" s="393"/>
      <c r="AC140" s="393"/>
      <c r="AD140" s="393"/>
      <c r="AE140" s="393"/>
      <c r="AF140" s="393"/>
      <c r="AG140" s="393"/>
      <c r="AH140" s="393"/>
      <c r="AI140" s="393"/>
      <c r="AJ140" s="393"/>
      <c r="AK140" s="393"/>
      <c r="AL140" s="393"/>
      <c r="AM140" s="393"/>
    </row>
    <row r="141" spans="1:39" ht="19.5">
      <c r="A141" s="225"/>
      <c r="C141" s="368"/>
      <c r="D141" s="368"/>
      <c r="E141" s="368"/>
      <c r="F141" s="368"/>
      <c r="G141" s="368"/>
      <c r="H141" s="368"/>
      <c r="I141" s="368"/>
      <c r="J141" s="427"/>
      <c r="K141" s="427"/>
      <c r="L141" s="427"/>
      <c r="M141" s="427"/>
      <c r="N141" s="427"/>
      <c r="O141" s="440"/>
      <c r="R141" s="393"/>
      <c r="S141" s="393"/>
      <c r="T141" s="393"/>
      <c r="U141" s="393"/>
      <c r="V141" s="393"/>
      <c r="W141" s="393"/>
      <c r="X141" s="393"/>
      <c r="Y141" s="393"/>
      <c r="Z141" s="393"/>
      <c r="AA141" s="393"/>
      <c r="AB141" s="393"/>
      <c r="AC141" s="393"/>
      <c r="AD141" s="393"/>
      <c r="AE141" s="393"/>
      <c r="AF141" s="393"/>
      <c r="AG141" s="393"/>
      <c r="AH141" s="393"/>
      <c r="AI141" s="393"/>
      <c r="AJ141" s="393"/>
      <c r="AK141" s="393"/>
      <c r="AL141" s="393"/>
      <c r="AM141" s="393"/>
    </row>
    <row r="142" spans="1:39" ht="19.5">
      <c r="A142" s="225"/>
      <c r="C142" s="368"/>
      <c r="D142" s="368"/>
      <c r="E142" s="368"/>
      <c r="F142" s="368"/>
      <c r="G142" s="368"/>
      <c r="H142" s="368"/>
      <c r="I142" s="368"/>
      <c r="J142" s="427"/>
      <c r="K142" s="427"/>
      <c r="L142" s="427"/>
      <c r="M142" s="427"/>
      <c r="N142" s="427"/>
      <c r="O142" s="440"/>
      <c r="R142" s="393"/>
      <c r="S142" s="393"/>
      <c r="T142" s="393"/>
      <c r="U142" s="393"/>
      <c r="V142" s="393"/>
      <c r="W142" s="393"/>
      <c r="X142" s="393"/>
      <c r="Y142" s="393"/>
      <c r="Z142" s="393"/>
      <c r="AA142" s="393"/>
      <c r="AB142" s="393"/>
      <c r="AC142" s="393"/>
      <c r="AD142" s="393"/>
      <c r="AE142" s="393"/>
      <c r="AF142" s="393"/>
      <c r="AG142" s="393"/>
      <c r="AH142" s="393"/>
      <c r="AI142" s="393"/>
      <c r="AJ142" s="393"/>
      <c r="AK142" s="393"/>
      <c r="AL142" s="393"/>
      <c r="AM142" s="393"/>
    </row>
    <row r="143" spans="1:39" ht="19.5">
      <c r="A143" s="225"/>
      <c r="C143" s="368"/>
      <c r="D143" s="368"/>
      <c r="E143" s="368"/>
      <c r="F143" s="368"/>
      <c r="G143" s="368"/>
      <c r="H143" s="368"/>
      <c r="I143" s="368"/>
      <c r="J143" s="427"/>
      <c r="K143" s="427"/>
      <c r="L143" s="427"/>
      <c r="M143" s="427"/>
      <c r="N143" s="427"/>
      <c r="O143" s="440"/>
      <c r="R143" s="393"/>
      <c r="S143" s="393"/>
      <c r="T143" s="393"/>
      <c r="U143" s="393"/>
      <c r="V143" s="393"/>
      <c r="W143" s="393"/>
      <c r="X143" s="393"/>
      <c r="Y143" s="393"/>
      <c r="Z143" s="393"/>
      <c r="AA143" s="393"/>
      <c r="AB143" s="393"/>
      <c r="AC143" s="393"/>
      <c r="AD143" s="393"/>
      <c r="AE143" s="393"/>
      <c r="AF143" s="393"/>
      <c r="AG143" s="393"/>
      <c r="AH143" s="393"/>
      <c r="AI143" s="393"/>
      <c r="AJ143" s="393"/>
      <c r="AK143" s="393"/>
      <c r="AL143" s="393"/>
      <c r="AM143" s="393"/>
    </row>
    <row r="144" spans="1:39" ht="19.5">
      <c r="A144" s="225"/>
      <c r="C144" s="368"/>
      <c r="D144" s="368"/>
      <c r="E144" s="368"/>
      <c r="F144" s="368"/>
      <c r="G144" s="368"/>
      <c r="H144" s="368"/>
      <c r="I144" s="368"/>
      <c r="J144" s="427"/>
      <c r="K144" s="427"/>
      <c r="L144" s="427"/>
      <c r="M144" s="427"/>
      <c r="N144" s="427"/>
      <c r="O144" s="440"/>
      <c r="R144" s="393"/>
      <c r="S144" s="393"/>
      <c r="T144" s="393"/>
      <c r="U144" s="393"/>
      <c r="V144" s="393"/>
      <c r="W144" s="393"/>
      <c r="X144" s="393"/>
      <c r="Y144" s="393"/>
      <c r="Z144" s="393"/>
      <c r="AA144" s="393"/>
      <c r="AB144" s="393"/>
      <c r="AC144" s="393"/>
      <c r="AD144" s="393"/>
      <c r="AE144" s="393"/>
      <c r="AF144" s="393"/>
      <c r="AG144" s="393"/>
      <c r="AH144" s="393"/>
      <c r="AI144" s="393"/>
      <c r="AJ144" s="393"/>
      <c r="AK144" s="393"/>
      <c r="AL144" s="393"/>
      <c r="AM144" s="393"/>
    </row>
    <row r="145" spans="1:39" ht="19.5">
      <c r="A145" s="225"/>
      <c r="C145" s="368"/>
      <c r="D145" s="368"/>
      <c r="E145" s="368"/>
      <c r="F145" s="368"/>
      <c r="G145" s="368"/>
      <c r="H145" s="368"/>
      <c r="I145" s="368"/>
      <c r="J145" s="427"/>
      <c r="K145" s="427"/>
      <c r="L145" s="427"/>
      <c r="M145" s="427"/>
      <c r="N145" s="427"/>
      <c r="O145" s="440"/>
      <c r="R145" s="393"/>
      <c r="S145" s="393"/>
      <c r="T145" s="393"/>
      <c r="U145" s="393"/>
      <c r="V145" s="393"/>
      <c r="W145" s="393"/>
      <c r="X145" s="393"/>
      <c r="Y145" s="393"/>
      <c r="Z145" s="393"/>
      <c r="AA145" s="393"/>
      <c r="AB145" s="393"/>
      <c r="AC145" s="393"/>
      <c r="AD145" s="393"/>
      <c r="AE145" s="393"/>
      <c r="AF145" s="393"/>
      <c r="AG145" s="393"/>
      <c r="AH145" s="393"/>
      <c r="AI145" s="393"/>
      <c r="AJ145" s="393"/>
      <c r="AK145" s="393"/>
      <c r="AL145" s="393"/>
      <c r="AM145" s="393"/>
    </row>
    <row r="146" spans="1:39" ht="19.5">
      <c r="A146" s="225"/>
      <c r="C146" s="368"/>
      <c r="D146" s="368"/>
      <c r="E146" s="368"/>
      <c r="F146" s="368"/>
      <c r="G146" s="368"/>
      <c r="H146" s="368"/>
      <c r="I146" s="368"/>
      <c r="J146" s="427"/>
      <c r="K146" s="427"/>
      <c r="L146" s="427"/>
      <c r="M146" s="427"/>
      <c r="N146" s="427"/>
      <c r="O146" s="440"/>
      <c r="R146" s="393"/>
      <c r="S146" s="393"/>
      <c r="T146" s="393"/>
      <c r="U146" s="393"/>
      <c r="V146" s="393"/>
      <c r="W146" s="393"/>
      <c r="X146" s="393"/>
      <c r="Y146" s="393"/>
      <c r="Z146" s="393"/>
      <c r="AA146" s="393"/>
      <c r="AB146" s="393"/>
      <c r="AC146" s="393"/>
      <c r="AD146" s="393"/>
      <c r="AE146" s="393"/>
      <c r="AF146" s="393"/>
      <c r="AG146" s="393"/>
      <c r="AH146" s="393"/>
      <c r="AI146" s="393"/>
      <c r="AJ146" s="393"/>
      <c r="AK146" s="393"/>
      <c r="AL146" s="393"/>
      <c r="AM146" s="393"/>
    </row>
    <row r="147" spans="1:39" ht="19.5">
      <c r="A147" s="225"/>
      <c r="C147" s="368"/>
      <c r="D147" s="368"/>
      <c r="E147" s="368"/>
      <c r="F147" s="368"/>
      <c r="G147" s="368"/>
      <c r="H147" s="368"/>
      <c r="I147" s="368"/>
      <c r="J147" s="427"/>
      <c r="K147" s="427"/>
      <c r="L147" s="427"/>
      <c r="M147" s="427"/>
      <c r="N147" s="427"/>
      <c r="O147" s="440"/>
      <c r="R147" s="393"/>
      <c r="S147" s="393"/>
      <c r="T147" s="393"/>
      <c r="U147" s="393"/>
      <c r="V147" s="393"/>
      <c r="W147" s="393"/>
      <c r="X147" s="393"/>
      <c r="Y147" s="393"/>
      <c r="Z147" s="393"/>
      <c r="AA147" s="393"/>
      <c r="AB147" s="393"/>
      <c r="AC147" s="393"/>
      <c r="AD147" s="393"/>
      <c r="AE147" s="393"/>
      <c r="AF147" s="393"/>
      <c r="AG147" s="393"/>
      <c r="AH147" s="393"/>
      <c r="AI147" s="393"/>
      <c r="AJ147" s="393"/>
      <c r="AK147" s="393"/>
      <c r="AL147" s="393"/>
      <c r="AM147" s="393"/>
    </row>
    <row r="148" spans="1:39" ht="19.5">
      <c r="A148" s="225"/>
      <c r="C148" s="368"/>
      <c r="D148" s="368"/>
      <c r="E148" s="368"/>
      <c r="F148" s="368"/>
      <c r="G148" s="368"/>
      <c r="H148" s="368"/>
      <c r="I148" s="368"/>
      <c r="J148" s="427"/>
      <c r="K148" s="427"/>
      <c r="L148" s="427"/>
      <c r="M148" s="427"/>
      <c r="N148" s="427"/>
      <c r="O148" s="440"/>
      <c r="R148" s="393"/>
      <c r="S148" s="393"/>
      <c r="T148" s="393"/>
      <c r="U148" s="393"/>
      <c r="V148" s="393"/>
      <c r="W148" s="393"/>
      <c r="X148" s="393"/>
      <c r="Y148" s="393"/>
      <c r="Z148" s="393"/>
      <c r="AA148" s="393"/>
      <c r="AB148" s="393"/>
      <c r="AC148" s="393"/>
      <c r="AD148" s="393"/>
      <c r="AE148" s="393"/>
      <c r="AF148" s="393"/>
      <c r="AG148" s="393"/>
      <c r="AH148" s="393"/>
      <c r="AI148" s="393"/>
      <c r="AJ148" s="393"/>
      <c r="AK148" s="393"/>
      <c r="AL148" s="393"/>
      <c r="AM148" s="393"/>
    </row>
    <row r="149" spans="1:39" ht="19.5">
      <c r="A149" s="225"/>
      <c r="C149" s="368"/>
      <c r="D149" s="368"/>
      <c r="E149" s="368"/>
      <c r="F149" s="368"/>
      <c r="G149" s="368"/>
      <c r="H149" s="368"/>
      <c r="I149" s="368"/>
      <c r="J149" s="427"/>
      <c r="K149" s="427"/>
      <c r="L149" s="427"/>
      <c r="M149" s="427"/>
      <c r="N149" s="427"/>
      <c r="O149" s="440"/>
      <c r="R149" s="393"/>
      <c r="S149" s="393"/>
      <c r="T149" s="393"/>
      <c r="U149" s="393"/>
      <c r="V149" s="393"/>
      <c r="W149" s="393"/>
      <c r="X149" s="393"/>
      <c r="Y149" s="393"/>
      <c r="Z149" s="393"/>
      <c r="AA149" s="393"/>
      <c r="AB149" s="393"/>
      <c r="AC149" s="393"/>
      <c r="AD149" s="393"/>
      <c r="AE149" s="393"/>
      <c r="AF149" s="393"/>
      <c r="AG149" s="393"/>
      <c r="AH149" s="393"/>
      <c r="AI149" s="393"/>
      <c r="AJ149" s="393"/>
      <c r="AK149" s="393"/>
      <c r="AL149" s="393"/>
      <c r="AM149" s="393"/>
    </row>
    <row r="150" spans="1:39" ht="19.5">
      <c r="A150" s="225"/>
      <c r="C150" s="368"/>
      <c r="D150" s="368"/>
      <c r="E150" s="368"/>
      <c r="F150" s="368"/>
      <c r="G150" s="368"/>
      <c r="H150" s="368"/>
      <c r="I150" s="368"/>
      <c r="J150" s="427"/>
      <c r="K150" s="427"/>
      <c r="L150" s="427"/>
      <c r="M150" s="427"/>
      <c r="N150" s="427"/>
      <c r="O150" s="440"/>
      <c r="R150" s="393"/>
      <c r="S150" s="393"/>
      <c r="T150" s="393"/>
      <c r="U150" s="393"/>
      <c r="V150" s="393"/>
      <c r="W150" s="393"/>
      <c r="X150" s="393"/>
      <c r="Y150" s="393"/>
      <c r="Z150" s="393"/>
      <c r="AA150" s="393"/>
      <c r="AB150" s="393"/>
      <c r="AC150" s="393"/>
      <c r="AD150" s="393"/>
      <c r="AE150" s="393"/>
      <c r="AF150" s="393"/>
      <c r="AG150" s="393"/>
      <c r="AH150" s="393"/>
      <c r="AI150" s="393"/>
      <c r="AJ150" s="393"/>
      <c r="AK150" s="393"/>
      <c r="AL150" s="393"/>
      <c r="AM150" s="393"/>
    </row>
    <row r="151" spans="1:39" ht="19.5">
      <c r="A151" s="225"/>
      <c r="C151" s="368"/>
      <c r="D151" s="368"/>
      <c r="E151" s="368"/>
      <c r="F151" s="368"/>
      <c r="G151" s="368"/>
      <c r="H151" s="368"/>
      <c r="I151" s="368"/>
      <c r="J151" s="427"/>
      <c r="K151" s="427"/>
      <c r="L151" s="427"/>
      <c r="M151" s="427"/>
      <c r="N151" s="427"/>
      <c r="O151" s="440"/>
      <c r="R151" s="393"/>
      <c r="S151" s="393"/>
      <c r="T151" s="393"/>
      <c r="U151" s="393"/>
      <c r="V151" s="393"/>
      <c r="W151" s="393"/>
      <c r="X151" s="393"/>
      <c r="Y151" s="393"/>
      <c r="Z151" s="393"/>
      <c r="AA151" s="393"/>
      <c r="AB151" s="393"/>
      <c r="AC151" s="393"/>
      <c r="AD151" s="393"/>
      <c r="AE151" s="393"/>
      <c r="AF151" s="393"/>
      <c r="AG151" s="393"/>
      <c r="AH151" s="393"/>
      <c r="AI151" s="393"/>
      <c r="AJ151" s="393"/>
      <c r="AK151" s="393"/>
      <c r="AL151" s="393"/>
      <c r="AM151" s="393"/>
    </row>
    <row r="152" spans="1:39" ht="19.5">
      <c r="A152" s="225"/>
      <c r="C152" s="368"/>
      <c r="D152" s="368"/>
      <c r="E152" s="368"/>
      <c r="F152" s="368"/>
      <c r="G152" s="368"/>
      <c r="H152" s="368"/>
      <c r="I152" s="368"/>
      <c r="J152" s="427"/>
      <c r="K152" s="427"/>
      <c r="L152" s="427"/>
      <c r="M152" s="427"/>
      <c r="N152" s="427"/>
      <c r="O152" s="440"/>
      <c r="R152" s="393"/>
      <c r="S152" s="393"/>
      <c r="T152" s="393"/>
      <c r="U152" s="393"/>
      <c r="V152" s="393"/>
      <c r="W152" s="393"/>
      <c r="X152" s="393"/>
      <c r="Y152" s="393"/>
      <c r="Z152" s="393"/>
      <c r="AA152" s="393"/>
      <c r="AB152" s="393"/>
      <c r="AC152" s="393"/>
      <c r="AD152" s="393"/>
      <c r="AE152" s="393"/>
      <c r="AF152" s="393"/>
      <c r="AG152" s="393"/>
      <c r="AH152" s="393"/>
      <c r="AI152" s="393"/>
      <c r="AJ152" s="393"/>
      <c r="AK152" s="393"/>
      <c r="AL152" s="393"/>
      <c r="AM152" s="393"/>
    </row>
    <row r="153" spans="1:39" ht="19.5">
      <c r="A153" s="225"/>
      <c r="C153" s="368"/>
      <c r="D153" s="368"/>
      <c r="E153" s="368"/>
      <c r="F153" s="368"/>
      <c r="G153" s="368"/>
      <c r="H153" s="368"/>
      <c r="I153" s="368"/>
      <c r="J153" s="427"/>
      <c r="K153" s="427"/>
      <c r="L153" s="427"/>
      <c r="M153" s="427"/>
      <c r="N153" s="427"/>
      <c r="O153" s="440"/>
      <c r="R153" s="393"/>
      <c r="S153" s="393"/>
      <c r="T153" s="393"/>
      <c r="U153" s="393"/>
      <c r="V153" s="393"/>
      <c r="W153" s="393"/>
      <c r="X153" s="393"/>
      <c r="Y153" s="393"/>
      <c r="Z153" s="393"/>
      <c r="AA153" s="393"/>
      <c r="AB153" s="393"/>
      <c r="AC153" s="393"/>
      <c r="AD153" s="393"/>
      <c r="AE153" s="393"/>
      <c r="AF153" s="393"/>
      <c r="AG153" s="393"/>
      <c r="AH153" s="393"/>
      <c r="AI153" s="393"/>
      <c r="AJ153" s="393"/>
      <c r="AK153" s="393"/>
      <c r="AL153" s="393"/>
      <c r="AM153" s="393"/>
    </row>
    <row r="154" spans="1:39" ht="19.5">
      <c r="A154" s="225"/>
      <c r="C154" s="368"/>
      <c r="D154" s="368"/>
      <c r="E154" s="368"/>
      <c r="F154" s="368"/>
      <c r="G154" s="368"/>
      <c r="H154" s="368"/>
      <c r="I154" s="368"/>
      <c r="J154" s="427"/>
      <c r="K154" s="427"/>
      <c r="L154" s="427"/>
      <c r="M154" s="427"/>
      <c r="N154" s="427"/>
      <c r="O154" s="440"/>
      <c r="R154" s="393"/>
      <c r="S154" s="393"/>
      <c r="T154" s="393"/>
      <c r="U154" s="393"/>
      <c r="V154" s="393"/>
      <c r="W154" s="393"/>
      <c r="X154" s="393"/>
      <c r="Y154" s="393"/>
      <c r="Z154" s="393"/>
      <c r="AA154" s="393"/>
      <c r="AB154" s="393"/>
      <c r="AC154" s="393"/>
      <c r="AD154" s="393"/>
      <c r="AE154" s="393"/>
      <c r="AF154" s="393"/>
      <c r="AG154" s="393"/>
      <c r="AH154" s="393"/>
      <c r="AI154" s="393"/>
      <c r="AJ154" s="393"/>
      <c r="AK154" s="393"/>
      <c r="AL154" s="393"/>
      <c r="AM154" s="393"/>
    </row>
    <row r="155" spans="1:39" ht="19.5">
      <c r="A155" s="225"/>
      <c r="C155" s="368"/>
      <c r="D155" s="368"/>
      <c r="E155" s="368"/>
      <c r="F155" s="368"/>
      <c r="G155" s="368"/>
      <c r="H155" s="368"/>
      <c r="I155" s="368"/>
      <c r="J155" s="427"/>
      <c r="K155" s="427"/>
      <c r="L155" s="427"/>
      <c r="M155" s="427"/>
      <c r="N155" s="427"/>
      <c r="O155" s="440"/>
      <c r="R155" s="393"/>
      <c r="S155" s="393"/>
      <c r="T155" s="393"/>
      <c r="U155" s="393"/>
      <c r="V155" s="393"/>
      <c r="W155" s="393"/>
      <c r="X155" s="393"/>
      <c r="Y155" s="393"/>
      <c r="Z155" s="393"/>
      <c r="AA155" s="393"/>
      <c r="AB155" s="393"/>
      <c r="AC155" s="393"/>
      <c r="AD155" s="393"/>
      <c r="AE155" s="393"/>
      <c r="AF155" s="393"/>
      <c r="AG155" s="393"/>
      <c r="AH155" s="393"/>
      <c r="AI155" s="393"/>
      <c r="AJ155" s="393"/>
      <c r="AK155" s="393"/>
      <c r="AL155" s="393"/>
      <c r="AM155" s="393"/>
    </row>
    <row r="156" spans="1:39" ht="19.5">
      <c r="A156" s="225"/>
      <c r="C156" s="368"/>
      <c r="D156" s="368"/>
      <c r="E156" s="368"/>
      <c r="F156" s="368"/>
      <c r="G156" s="368"/>
      <c r="H156" s="368"/>
      <c r="I156" s="368"/>
      <c r="J156" s="427"/>
      <c r="K156" s="427"/>
      <c r="L156" s="427"/>
      <c r="M156" s="427"/>
      <c r="N156" s="427"/>
      <c r="O156" s="440"/>
      <c r="R156" s="393"/>
      <c r="S156" s="393"/>
      <c r="T156" s="393"/>
      <c r="U156" s="393"/>
      <c r="V156" s="393"/>
      <c r="W156" s="393"/>
      <c r="X156" s="393"/>
      <c r="Y156" s="393"/>
      <c r="Z156" s="393"/>
      <c r="AA156" s="393"/>
      <c r="AB156" s="393"/>
      <c r="AC156" s="393"/>
      <c r="AD156" s="393"/>
      <c r="AE156" s="393"/>
      <c r="AF156" s="393"/>
      <c r="AG156" s="393"/>
      <c r="AH156" s="393"/>
      <c r="AI156" s="393"/>
      <c r="AJ156" s="393"/>
      <c r="AK156" s="393"/>
      <c r="AL156" s="393"/>
      <c r="AM156" s="393"/>
    </row>
    <row r="157" spans="1:39" ht="19.5">
      <c r="A157" s="225"/>
      <c r="C157" s="368"/>
      <c r="D157" s="368"/>
      <c r="E157" s="368"/>
      <c r="F157" s="368"/>
      <c r="G157" s="368"/>
      <c r="H157" s="368"/>
      <c r="I157" s="368"/>
      <c r="J157" s="427"/>
      <c r="K157" s="427"/>
      <c r="L157" s="427"/>
      <c r="M157" s="427"/>
      <c r="N157" s="427"/>
      <c r="O157" s="440"/>
      <c r="R157" s="393"/>
      <c r="S157" s="393"/>
      <c r="T157" s="393"/>
      <c r="U157" s="393"/>
      <c r="V157" s="393"/>
      <c r="W157" s="393"/>
      <c r="X157" s="393"/>
      <c r="Y157" s="393"/>
      <c r="Z157" s="393"/>
      <c r="AA157" s="393"/>
      <c r="AB157" s="393"/>
      <c r="AC157" s="393"/>
      <c r="AD157" s="393"/>
      <c r="AE157" s="393"/>
      <c r="AF157" s="393"/>
      <c r="AG157" s="393"/>
      <c r="AH157" s="393"/>
      <c r="AI157" s="393"/>
      <c r="AJ157" s="393"/>
      <c r="AK157" s="393"/>
      <c r="AL157" s="393"/>
      <c r="AM157" s="393"/>
    </row>
    <row r="158" spans="1:39" ht="19.5">
      <c r="A158" s="225"/>
      <c r="C158" s="368"/>
      <c r="D158" s="368"/>
      <c r="E158" s="368"/>
      <c r="F158" s="368"/>
      <c r="G158" s="368"/>
      <c r="H158" s="368"/>
      <c r="I158" s="368"/>
      <c r="J158" s="427"/>
      <c r="K158" s="427"/>
      <c r="L158" s="427"/>
      <c r="M158" s="427"/>
      <c r="N158" s="427"/>
      <c r="O158" s="440"/>
      <c r="R158" s="393"/>
      <c r="S158" s="393"/>
      <c r="T158" s="393"/>
      <c r="U158" s="393"/>
      <c r="V158" s="393"/>
      <c r="W158" s="393"/>
      <c r="X158" s="393"/>
      <c r="Y158" s="393"/>
      <c r="Z158" s="393"/>
      <c r="AA158" s="393"/>
      <c r="AB158" s="393"/>
      <c r="AC158" s="393"/>
      <c r="AD158" s="393"/>
      <c r="AE158" s="393"/>
      <c r="AF158" s="393"/>
      <c r="AG158" s="393"/>
      <c r="AH158" s="393"/>
      <c r="AI158" s="393"/>
      <c r="AJ158" s="393"/>
      <c r="AK158" s="393"/>
      <c r="AL158" s="393"/>
      <c r="AM158" s="393"/>
    </row>
    <row r="159" spans="1:39" ht="19.5">
      <c r="A159" s="225"/>
      <c r="C159" s="368"/>
      <c r="D159" s="368"/>
      <c r="E159" s="368"/>
      <c r="F159" s="368"/>
      <c r="G159" s="368"/>
      <c r="H159" s="368"/>
      <c r="I159" s="368"/>
      <c r="J159" s="427"/>
      <c r="K159" s="427"/>
      <c r="L159" s="427"/>
      <c r="M159" s="427"/>
      <c r="N159" s="427"/>
      <c r="O159" s="440"/>
      <c r="R159" s="393"/>
      <c r="S159" s="393"/>
      <c r="T159" s="393"/>
      <c r="U159" s="393"/>
      <c r="V159" s="393"/>
      <c r="W159" s="393"/>
      <c r="X159" s="393"/>
      <c r="Y159" s="393"/>
      <c r="Z159" s="393"/>
      <c r="AA159" s="393"/>
      <c r="AB159" s="393"/>
      <c r="AC159" s="393"/>
      <c r="AD159" s="393"/>
      <c r="AE159" s="393"/>
      <c r="AF159" s="393"/>
      <c r="AG159" s="393"/>
      <c r="AH159" s="393"/>
      <c r="AI159" s="393"/>
      <c r="AJ159" s="393"/>
      <c r="AK159" s="393"/>
      <c r="AL159" s="393"/>
      <c r="AM159" s="393"/>
    </row>
    <row r="160" spans="1:39" ht="19.5">
      <c r="A160" s="225"/>
      <c r="C160" s="368"/>
      <c r="D160" s="368"/>
      <c r="E160" s="368"/>
      <c r="F160" s="368"/>
      <c r="G160" s="368"/>
      <c r="H160" s="368"/>
      <c r="I160" s="368"/>
      <c r="J160" s="427"/>
      <c r="K160" s="427"/>
      <c r="L160" s="427"/>
      <c r="M160" s="427"/>
      <c r="N160" s="427"/>
      <c r="O160" s="440"/>
      <c r="R160" s="393"/>
      <c r="S160" s="393"/>
      <c r="T160" s="393"/>
      <c r="U160" s="393"/>
      <c r="V160" s="393"/>
      <c r="W160" s="393"/>
      <c r="X160" s="393"/>
      <c r="Y160" s="393"/>
      <c r="Z160" s="393"/>
      <c r="AA160" s="393"/>
      <c r="AB160" s="393"/>
      <c r="AC160" s="393"/>
      <c r="AD160" s="393"/>
      <c r="AE160" s="393"/>
      <c r="AF160" s="393"/>
      <c r="AG160" s="393"/>
      <c r="AH160" s="393"/>
      <c r="AI160" s="393"/>
      <c r="AJ160" s="393"/>
      <c r="AK160" s="393"/>
      <c r="AL160" s="393"/>
      <c r="AM160" s="393"/>
    </row>
    <row r="161" spans="1:39" ht="19.5">
      <c r="A161" s="225"/>
      <c r="C161" s="368"/>
      <c r="D161" s="368"/>
      <c r="E161" s="368"/>
      <c r="F161" s="368"/>
      <c r="G161" s="368"/>
      <c r="H161" s="368"/>
      <c r="I161" s="368"/>
      <c r="J161" s="427"/>
      <c r="K161" s="427"/>
      <c r="L161" s="427"/>
      <c r="M161" s="427"/>
      <c r="N161" s="427"/>
      <c r="O161" s="440"/>
      <c r="R161" s="393"/>
      <c r="S161" s="393"/>
      <c r="T161" s="393"/>
      <c r="U161" s="393"/>
      <c r="V161" s="393"/>
      <c r="W161" s="393"/>
      <c r="X161" s="393"/>
      <c r="Y161" s="393"/>
      <c r="Z161" s="393"/>
      <c r="AA161" s="393"/>
      <c r="AB161" s="393"/>
      <c r="AC161" s="393"/>
      <c r="AD161" s="393"/>
      <c r="AE161" s="393"/>
      <c r="AF161" s="393"/>
      <c r="AG161" s="393"/>
      <c r="AH161" s="393"/>
      <c r="AI161" s="393"/>
      <c r="AJ161" s="393"/>
      <c r="AK161" s="393"/>
      <c r="AL161" s="393"/>
      <c r="AM161" s="393"/>
    </row>
    <row r="162" spans="1:39" ht="19.5">
      <c r="A162" s="225"/>
      <c r="C162" s="368"/>
      <c r="D162" s="368"/>
      <c r="E162" s="368"/>
      <c r="F162" s="368"/>
      <c r="G162" s="368"/>
      <c r="H162" s="368"/>
      <c r="I162" s="368"/>
      <c r="J162" s="427"/>
      <c r="K162" s="427"/>
      <c r="L162" s="427"/>
      <c r="M162" s="427"/>
      <c r="N162" s="427"/>
      <c r="O162" s="440"/>
      <c r="R162" s="393"/>
      <c r="S162" s="393"/>
      <c r="T162" s="393"/>
      <c r="U162" s="393"/>
      <c r="V162" s="393"/>
      <c r="W162" s="393"/>
      <c r="X162" s="393"/>
      <c r="Y162" s="393"/>
      <c r="Z162" s="393"/>
      <c r="AA162" s="393"/>
      <c r="AB162" s="393"/>
      <c r="AC162" s="393"/>
      <c r="AD162" s="393"/>
      <c r="AE162" s="393"/>
      <c r="AF162" s="393"/>
      <c r="AG162" s="393"/>
      <c r="AH162" s="393"/>
      <c r="AI162" s="393"/>
      <c r="AJ162" s="393"/>
      <c r="AK162" s="393"/>
      <c r="AL162" s="393"/>
      <c r="AM162" s="393"/>
    </row>
    <row r="163" spans="1:39" ht="19.5">
      <c r="A163" s="225"/>
      <c r="C163" s="368"/>
      <c r="D163" s="368"/>
      <c r="E163" s="368"/>
      <c r="F163" s="368"/>
      <c r="G163" s="368"/>
      <c r="H163" s="368"/>
      <c r="I163" s="368"/>
      <c r="J163" s="427"/>
      <c r="K163" s="427"/>
      <c r="L163" s="427"/>
      <c r="M163" s="427"/>
      <c r="N163" s="427"/>
      <c r="O163" s="440"/>
      <c r="R163" s="393"/>
      <c r="S163" s="393"/>
      <c r="T163" s="393"/>
      <c r="U163" s="393"/>
      <c r="V163" s="393"/>
      <c r="W163" s="393"/>
      <c r="X163" s="393"/>
      <c r="Y163" s="393"/>
      <c r="Z163" s="393"/>
      <c r="AA163" s="393"/>
      <c r="AB163" s="393"/>
      <c r="AC163" s="393"/>
      <c r="AD163" s="393"/>
      <c r="AE163" s="393"/>
      <c r="AF163" s="393"/>
      <c r="AG163" s="393"/>
      <c r="AH163" s="393"/>
      <c r="AI163" s="393"/>
      <c r="AJ163" s="393"/>
      <c r="AK163" s="393"/>
      <c r="AL163" s="393"/>
      <c r="AM163" s="393"/>
    </row>
    <row r="164" spans="1:39" ht="19.5">
      <c r="A164" s="225"/>
      <c r="C164" s="368"/>
      <c r="D164" s="368"/>
      <c r="E164" s="368"/>
      <c r="F164" s="368"/>
      <c r="G164" s="368"/>
      <c r="H164" s="368"/>
      <c r="I164" s="368"/>
      <c r="J164" s="427"/>
      <c r="K164" s="427"/>
      <c r="L164" s="427"/>
      <c r="M164" s="427"/>
      <c r="N164" s="427"/>
      <c r="O164" s="440"/>
      <c r="R164" s="393"/>
      <c r="S164" s="393"/>
      <c r="T164" s="393"/>
      <c r="U164" s="393"/>
      <c r="V164" s="393"/>
      <c r="W164" s="393"/>
      <c r="X164" s="393"/>
      <c r="Y164" s="393"/>
      <c r="Z164" s="393"/>
      <c r="AA164" s="393"/>
      <c r="AB164" s="393"/>
      <c r="AC164" s="393"/>
      <c r="AD164" s="393"/>
      <c r="AE164" s="393"/>
      <c r="AF164" s="393"/>
      <c r="AG164" s="393"/>
      <c r="AH164" s="393"/>
      <c r="AI164" s="393"/>
      <c r="AJ164" s="393"/>
      <c r="AK164" s="393"/>
      <c r="AL164" s="393"/>
      <c r="AM164" s="393"/>
    </row>
    <row r="165" spans="1:39" ht="19.5">
      <c r="A165" s="225"/>
      <c r="C165" s="368"/>
      <c r="D165" s="368"/>
      <c r="E165" s="368"/>
      <c r="F165" s="368"/>
      <c r="G165" s="368"/>
      <c r="H165" s="368"/>
      <c r="I165" s="368"/>
      <c r="J165" s="427"/>
      <c r="K165" s="427"/>
      <c r="L165" s="427"/>
      <c r="M165" s="427"/>
      <c r="N165" s="427"/>
      <c r="O165" s="440"/>
      <c r="R165" s="393"/>
      <c r="S165" s="393"/>
      <c r="T165" s="393"/>
      <c r="U165" s="393"/>
      <c r="V165" s="393"/>
      <c r="W165" s="393"/>
      <c r="X165" s="393"/>
      <c r="Y165" s="393"/>
      <c r="Z165" s="393"/>
      <c r="AA165" s="393"/>
      <c r="AB165" s="393"/>
      <c r="AC165" s="393"/>
      <c r="AD165" s="393"/>
      <c r="AE165" s="393"/>
      <c r="AF165" s="393"/>
      <c r="AG165" s="393"/>
      <c r="AH165" s="393"/>
      <c r="AI165" s="393"/>
      <c r="AJ165" s="393"/>
      <c r="AK165" s="393"/>
      <c r="AL165" s="393"/>
      <c r="AM165" s="393"/>
    </row>
    <row r="166" spans="1:39" ht="19.5">
      <c r="A166" s="225"/>
      <c r="C166" s="368"/>
      <c r="D166" s="368"/>
      <c r="E166" s="368"/>
      <c r="F166" s="368"/>
      <c r="G166" s="368"/>
      <c r="H166" s="368"/>
      <c r="I166" s="368"/>
      <c r="J166" s="427"/>
      <c r="K166" s="427"/>
      <c r="L166" s="427"/>
      <c r="M166" s="427"/>
      <c r="N166" s="427"/>
      <c r="O166" s="440"/>
      <c r="R166" s="393"/>
      <c r="S166" s="393"/>
      <c r="T166" s="393"/>
      <c r="U166" s="393"/>
      <c r="V166" s="393"/>
      <c r="W166" s="393"/>
      <c r="X166" s="393"/>
      <c r="Y166" s="393"/>
      <c r="Z166" s="393"/>
      <c r="AA166" s="393"/>
      <c r="AB166" s="393"/>
      <c r="AC166" s="393"/>
      <c r="AD166" s="393"/>
      <c r="AE166" s="393"/>
      <c r="AF166" s="393"/>
      <c r="AG166" s="393"/>
      <c r="AH166" s="393"/>
      <c r="AI166" s="393"/>
      <c r="AJ166" s="393"/>
      <c r="AK166" s="393"/>
      <c r="AL166" s="393"/>
      <c r="AM166" s="393"/>
    </row>
    <row r="167" spans="1:39" ht="19.5">
      <c r="A167" s="225"/>
      <c r="C167" s="368"/>
      <c r="D167" s="368"/>
      <c r="E167" s="368"/>
      <c r="F167" s="368"/>
      <c r="G167" s="368"/>
      <c r="H167" s="368"/>
      <c r="I167" s="368"/>
      <c r="J167" s="427"/>
      <c r="K167" s="427"/>
      <c r="L167" s="427"/>
      <c r="M167" s="427"/>
      <c r="N167" s="427"/>
      <c r="O167" s="440"/>
      <c r="R167" s="393"/>
      <c r="S167" s="393"/>
      <c r="T167" s="393"/>
      <c r="U167" s="393"/>
      <c r="V167" s="393"/>
      <c r="W167" s="393"/>
      <c r="X167" s="393"/>
      <c r="Y167" s="393"/>
      <c r="Z167" s="393"/>
      <c r="AA167" s="393"/>
      <c r="AB167" s="393"/>
      <c r="AC167" s="393"/>
      <c r="AD167" s="393"/>
      <c r="AE167" s="393"/>
      <c r="AF167" s="393"/>
      <c r="AG167" s="393"/>
      <c r="AH167" s="393"/>
      <c r="AI167" s="393"/>
      <c r="AJ167" s="393"/>
      <c r="AK167" s="393"/>
      <c r="AL167" s="393"/>
      <c r="AM167" s="393"/>
    </row>
    <row r="168" spans="1:39" ht="19.5">
      <c r="A168" s="225"/>
      <c r="C168" s="368"/>
      <c r="D168" s="368"/>
      <c r="E168" s="368"/>
      <c r="F168" s="368"/>
      <c r="G168" s="368"/>
      <c r="H168" s="368"/>
      <c r="I168" s="368"/>
      <c r="J168" s="427"/>
      <c r="K168" s="427"/>
      <c r="L168" s="427"/>
      <c r="M168" s="427"/>
      <c r="N168" s="427"/>
      <c r="O168" s="440"/>
      <c r="R168" s="393"/>
      <c r="S168" s="393"/>
      <c r="T168" s="393"/>
      <c r="U168" s="393"/>
      <c r="V168" s="393"/>
      <c r="W168" s="393"/>
      <c r="X168" s="393"/>
      <c r="Y168" s="393"/>
      <c r="Z168" s="393"/>
      <c r="AA168" s="393"/>
      <c r="AB168" s="393"/>
      <c r="AC168" s="393"/>
      <c r="AD168" s="393"/>
      <c r="AE168" s="393"/>
      <c r="AF168" s="393"/>
      <c r="AG168" s="393"/>
      <c r="AH168" s="393"/>
      <c r="AI168" s="393"/>
      <c r="AJ168" s="393"/>
      <c r="AK168" s="393"/>
      <c r="AL168" s="393"/>
      <c r="AM168" s="393"/>
    </row>
    <row r="169" spans="1:39" ht="19.5">
      <c r="A169" s="225"/>
      <c r="C169" s="368"/>
      <c r="D169" s="368"/>
      <c r="E169" s="368"/>
      <c r="F169" s="368"/>
      <c r="G169" s="368"/>
      <c r="H169" s="368"/>
      <c r="I169" s="368"/>
      <c r="J169" s="427"/>
      <c r="K169" s="427"/>
      <c r="L169" s="427"/>
      <c r="M169" s="427"/>
      <c r="N169" s="427"/>
      <c r="O169" s="440"/>
      <c r="R169" s="393"/>
      <c r="S169" s="393"/>
      <c r="T169" s="393"/>
      <c r="U169" s="393"/>
      <c r="V169" s="393"/>
      <c r="W169" s="393"/>
      <c r="X169" s="393"/>
      <c r="Y169" s="393"/>
      <c r="Z169" s="393"/>
      <c r="AA169" s="393"/>
      <c r="AB169" s="393"/>
      <c r="AC169" s="393"/>
      <c r="AD169" s="393"/>
      <c r="AE169" s="393"/>
      <c r="AF169" s="393"/>
      <c r="AG169" s="393"/>
      <c r="AH169" s="393"/>
      <c r="AI169" s="393"/>
      <c r="AJ169" s="393"/>
      <c r="AK169" s="393"/>
      <c r="AL169" s="393"/>
      <c r="AM169" s="393"/>
    </row>
    <row r="170" spans="1:39" ht="19.5">
      <c r="A170" s="225"/>
      <c r="C170" s="368"/>
      <c r="D170" s="368"/>
      <c r="E170" s="368"/>
      <c r="F170" s="368"/>
      <c r="G170" s="368"/>
      <c r="H170" s="368"/>
      <c r="I170" s="368"/>
      <c r="J170" s="427"/>
      <c r="K170" s="427"/>
      <c r="L170" s="427"/>
      <c r="M170" s="427"/>
      <c r="N170" s="427"/>
      <c r="O170" s="440"/>
      <c r="R170" s="393"/>
      <c r="S170" s="393"/>
      <c r="T170" s="393"/>
      <c r="U170" s="393"/>
      <c r="V170" s="393"/>
      <c r="W170" s="393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393"/>
      <c r="AK170" s="393"/>
      <c r="AL170" s="393"/>
      <c r="AM170" s="393"/>
    </row>
    <row r="171" spans="1:39" ht="19.5">
      <c r="A171" s="225"/>
      <c r="C171" s="368"/>
      <c r="D171" s="368"/>
      <c r="E171" s="368"/>
      <c r="F171" s="368"/>
      <c r="G171" s="368"/>
      <c r="H171" s="368"/>
      <c r="I171" s="368"/>
      <c r="J171" s="427"/>
      <c r="K171" s="427"/>
      <c r="L171" s="427"/>
      <c r="M171" s="427"/>
      <c r="N171" s="427"/>
      <c r="O171" s="440"/>
      <c r="R171" s="393"/>
      <c r="S171" s="393"/>
      <c r="T171" s="393"/>
      <c r="U171" s="393"/>
      <c r="V171" s="393"/>
      <c r="W171" s="393"/>
      <c r="X171" s="393"/>
      <c r="Y171" s="393"/>
      <c r="Z171" s="393"/>
      <c r="AA171" s="393"/>
      <c r="AB171" s="393"/>
      <c r="AC171" s="393"/>
      <c r="AD171" s="393"/>
      <c r="AE171" s="393"/>
      <c r="AF171" s="393"/>
      <c r="AG171" s="393"/>
      <c r="AH171" s="393"/>
      <c r="AI171" s="393"/>
      <c r="AJ171" s="393"/>
      <c r="AK171" s="393"/>
      <c r="AL171" s="393"/>
      <c r="AM171" s="393"/>
    </row>
    <row r="172" spans="1:39" ht="19.5">
      <c r="A172" s="225"/>
      <c r="C172" s="368"/>
      <c r="D172" s="368"/>
      <c r="E172" s="368"/>
      <c r="F172" s="368"/>
      <c r="G172" s="368"/>
      <c r="H172" s="368"/>
      <c r="I172" s="368"/>
      <c r="J172" s="427"/>
      <c r="K172" s="427"/>
      <c r="L172" s="427"/>
      <c r="M172" s="427"/>
      <c r="N172" s="427"/>
      <c r="O172" s="440"/>
      <c r="R172" s="393"/>
      <c r="S172" s="393"/>
      <c r="T172" s="393"/>
      <c r="U172" s="393"/>
      <c r="V172" s="393"/>
      <c r="W172" s="393"/>
      <c r="X172" s="393"/>
      <c r="Y172" s="393"/>
      <c r="Z172" s="393"/>
      <c r="AA172" s="393"/>
      <c r="AB172" s="393"/>
      <c r="AC172" s="393"/>
      <c r="AD172" s="393"/>
      <c r="AE172" s="393"/>
      <c r="AF172" s="393"/>
      <c r="AG172" s="393"/>
      <c r="AH172" s="393"/>
      <c r="AI172" s="393"/>
      <c r="AJ172" s="393"/>
      <c r="AK172" s="393"/>
      <c r="AL172" s="393"/>
      <c r="AM172" s="393"/>
    </row>
    <row r="173" spans="1:39" ht="19.5">
      <c r="A173" s="225"/>
      <c r="C173" s="368"/>
      <c r="D173" s="368"/>
      <c r="E173" s="368"/>
      <c r="F173" s="368"/>
      <c r="G173" s="368"/>
      <c r="H173" s="368"/>
      <c r="I173" s="368"/>
      <c r="J173" s="427"/>
      <c r="K173" s="427"/>
      <c r="L173" s="427"/>
      <c r="M173" s="427"/>
      <c r="N173" s="427"/>
      <c r="O173" s="440"/>
      <c r="R173" s="393"/>
      <c r="S173" s="393"/>
      <c r="T173" s="393"/>
      <c r="U173" s="393"/>
      <c r="V173" s="393"/>
      <c r="W173" s="393"/>
      <c r="X173" s="393"/>
      <c r="Y173" s="393"/>
      <c r="Z173" s="393"/>
      <c r="AA173" s="393"/>
      <c r="AB173" s="393"/>
      <c r="AC173" s="393"/>
      <c r="AD173" s="393"/>
      <c r="AE173" s="393"/>
      <c r="AF173" s="393"/>
      <c r="AG173" s="393"/>
      <c r="AH173" s="393"/>
      <c r="AI173" s="393"/>
      <c r="AJ173" s="393"/>
      <c r="AK173" s="393"/>
      <c r="AL173" s="393"/>
      <c r="AM173" s="393"/>
    </row>
    <row r="174" spans="1:39" ht="19.5">
      <c r="A174" s="225"/>
      <c r="C174" s="368"/>
      <c r="D174" s="368"/>
      <c r="E174" s="368"/>
      <c r="F174" s="368"/>
      <c r="G174" s="368"/>
      <c r="H174" s="368"/>
      <c r="I174" s="368"/>
      <c r="J174" s="427"/>
      <c r="K174" s="427"/>
      <c r="L174" s="427"/>
      <c r="M174" s="427"/>
      <c r="N174" s="427"/>
      <c r="O174" s="440"/>
      <c r="R174" s="393"/>
      <c r="S174" s="393"/>
      <c r="T174" s="393"/>
      <c r="U174" s="393"/>
      <c r="V174" s="393"/>
      <c r="W174" s="393"/>
      <c r="X174" s="393"/>
      <c r="Y174" s="393"/>
      <c r="Z174" s="393"/>
      <c r="AA174" s="393"/>
      <c r="AB174" s="393"/>
      <c r="AC174" s="393"/>
      <c r="AD174" s="393"/>
      <c r="AE174" s="393"/>
      <c r="AF174" s="393"/>
      <c r="AG174" s="393"/>
      <c r="AH174" s="393"/>
      <c r="AI174" s="393"/>
      <c r="AJ174" s="393"/>
      <c r="AK174" s="393"/>
      <c r="AL174" s="393"/>
      <c r="AM174" s="393"/>
    </row>
    <row r="175" spans="1:39" ht="19.5">
      <c r="A175" s="225"/>
      <c r="C175" s="368"/>
      <c r="D175" s="368"/>
      <c r="E175" s="368"/>
      <c r="F175" s="368"/>
      <c r="G175" s="368"/>
      <c r="H175" s="368"/>
      <c r="I175" s="368"/>
      <c r="J175" s="427"/>
      <c r="K175" s="427"/>
      <c r="L175" s="427"/>
      <c r="M175" s="427"/>
      <c r="N175" s="427"/>
      <c r="O175" s="440"/>
      <c r="R175" s="393"/>
      <c r="S175" s="393"/>
      <c r="T175" s="393"/>
      <c r="U175" s="393"/>
      <c r="V175" s="393"/>
      <c r="W175" s="393"/>
      <c r="X175" s="393"/>
      <c r="Y175" s="393"/>
      <c r="Z175" s="393"/>
      <c r="AA175" s="393"/>
      <c r="AB175" s="393"/>
      <c r="AC175" s="393"/>
      <c r="AD175" s="393"/>
      <c r="AE175" s="393"/>
      <c r="AF175" s="393"/>
      <c r="AG175" s="393"/>
      <c r="AH175" s="393"/>
      <c r="AI175" s="393"/>
      <c r="AJ175" s="393"/>
      <c r="AK175" s="393"/>
      <c r="AL175" s="393"/>
      <c r="AM175" s="393"/>
    </row>
    <row r="176" spans="1:39" ht="19.5">
      <c r="A176" s="225"/>
      <c r="C176" s="368"/>
      <c r="D176" s="368"/>
      <c r="E176" s="368"/>
      <c r="F176" s="368"/>
      <c r="G176" s="368"/>
      <c r="H176" s="368"/>
      <c r="I176" s="368"/>
      <c r="J176" s="427"/>
      <c r="K176" s="427"/>
      <c r="L176" s="427"/>
      <c r="M176" s="427"/>
      <c r="N176" s="427"/>
      <c r="O176" s="440"/>
      <c r="R176" s="393"/>
      <c r="S176" s="393"/>
      <c r="T176" s="393"/>
      <c r="U176" s="393"/>
      <c r="V176" s="393"/>
      <c r="W176" s="393"/>
      <c r="X176" s="393"/>
      <c r="Y176" s="393"/>
      <c r="Z176" s="393"/>
      <c r="AA176" s="393"/>
      <c r="AB176" s="393"/>
      <c r="AC176" s="393"/>
      <c r="AD176" s="393"/>
      <c r="AE176" s="393"/>
      <c r="AF176" s="393"/>
      <c r="AG176" s="393"/>
      <c r="AH176" s="393"/>
      <c r="AI176" s="393"/>
      <c r="AJ176" s="393"/>
      <c r="AK176" s="393"/>
      <c r="AL176" s="393"/>
      <c r="AM176" s="393"/>
    </row>
    <row r="177" spans="1:39" ht="19.5">
      <c r="A177" s="225"/>
      <c r="C177" s="368"/>
      <c r="D177" s="368"/>
      <c r="E177" s="368"/>
      <c r="F177" s="368"/>
      <c r="G177" s="368"/>
      <c r="H177" s="368"/>
      <c r="I177" s="368"/>
      <c r="J177" s="427"/>
      <c r="K177" s="427"/>
      <c r="L177" s="427"/>
      <c r="M177" s="427"/>
      <c r="N177" s="427"/>
      <c r="O177" s="440"/>
      <c r="R177" s="393"/>
      <c r="S177" s="393"/>
      <c r="T177" s="393"/>
      <c r="U177" s="393"/>
      <c r="V177" s="393"/>
      <c r="W177" s="393"/>
      <c r="X177" s="393"/>
      <c r="Y177" s="393"/>
      <c r="Z177" s="393"/>
      <c r="AA177" s="393"/>
      <c r="AB177" s="393"/>
      <c r="AC177" s="393"/>
      <c r="AD177" s="393"/>
      <c r="AE177" s="393"/>
      <c r="AF177" s="393"/>
      <c r="AG177" s="393"/>
      <c r="AH177" s="393"/>
      <c r="AI177" s="393"/>
      <c r="AJ177" s="393"/>
      <c r="AK177" s="393"/>
      <c r="AL177" s="393"/>
      <c r="AM177" s="393"/>
    </row>
    <row r="178" spans="1:39" ht="19.5">
      <c r="A178" s="225"/>
      <c r="C178" s="368"/>
      <c r="D178" s="368"/>
      <c r="E178" s="368"/>
      <c r="F178" s="368"/>
      <c r="G178" s="368"/>
      <c r="H178" s="368"/>
      <c r="I178" s="368"/>
      <c r="J178" s="427"/>
      <c r="K178" s="427"/>
      <c r="L178" s="427"/>
      <c r="M178" s="427"/>
      <c r="N178" s="427"/>
      <c r="O178" s="440"/>
      <c r="R178" s="393"/>
      <c r="S178" s="393"/>
      <c r="T178" s="393"/>
      <c r="U178" s="393"/>
      <c r="V178" s="393"/>
      <c r="W178" s="393"/>
      <c r="X178" s="393"/>
      <c r="Y178" s="393"/>
      <c r="Z178" s="393"/>
      <c r="AA178" s="393"/>
      <c r="AB178" s="393"/>
      <c r="AC178" s="393"/>
      <c r="AD178" s="393"/>
      <c r="AE178" s="393"/>
      <c r="AF178" s="393"/>
      <c r="AG178" s="393"/>
      <c r="AH178" s="393"/>
      <c r="AI178" s="393"/>
      <c r="AJ178" s="393"/>
      <c r="AK178" s="393"/>
      <c r="AL178" s="393"/>
      <c r="AM178" s="393"/>
    </row>
    <row r="179" spans="1:39" ht="19.5">
      <c r="A179" s="225"/>
      <c r="C179" s="368"/>
      <c r="D179" s="368"/>
      <c r="E179" s="368"/>
      <c r="F179" s="368"/>
      <c r="G179" s="368"/>
      <c r="H179" s="368"/>
      <c r="I179" s="368"/>
      <c r="J179" s="427"/>
      <c r="K179" s="427"/>
      <c r="L179" s="427"/>
      <c r="M179" s="427"/>
      <c r="N179" s="427"/>
      <c r="O179" s="440"/>
      <c r="R179" s="393"/>
      <c r="S179" s="393"/>
      <c r="T179" s="393"/>
      <c r="U179" s="393"/>
      <c r="V179" s="393"/>
      <c r="W179" s="393"/>
      <c r="X179" s="393"/>
      <c r="Y179" s="393"/>
      <c r="Z179" s="393"/>
      <c r="AA179" s="393"/>
      <c r="AB179" s="393"/>
      <c r="AC179" s="393"/>
      <c r="AD179" s="393"/>
      <c r="AE179" s="393"/>
      <c r="AF179" s="393"/>
      <c r="AG179" s="393"/>
      <c r="AH179" s="393"/>
      <c r="AI179" s="393"/>
      <c r="AJ179" s="393"/>
      <c r="AK179" s="393"/>
      <c r="AL179" s="393"/>
      <c r="AM179" s="393"/>
    </row>
    <row r="180" spans="1:39" ht="19.5">
      <c r="A180" s="225"/>
      <c r="C180" s="368"/>
      <c r="D180" s="368"/>
      <c r="E180" s="368"/>
      <c r="F180" s="368"/>
      <c r="G180" s="368"/>
      <c r="H180" s="368"/>
      <c r="I180" s="368"/>
      <c r="J180" s="427"/>
      <c r="K180" s="427"/>
      <c r="L180" s="427"/>
      <c r="M180" s="427"/>
      <c r="N180" s="427"/>
      <c r="O180" s="440"/>
      <c r="R180" s="393"/>
      <c r="S180" s="393"/>
      <c r="T180" s="393"/>
      <c r="U180" s="393"/>
      <c r="V180" s="393"/>
      <c r="W180" s="393"/>
      <c r="X180" s="393"/>
      <c r="Y180" s="393"/>
      <c r="Z180" s="393"/>
      <c r="AA180" s="393"/>
      <c r="AB180" s="393"/>
      <c r="AC180" s="393"/>
      <c r="AD180" s="393"/>
      <c r="AE180" s="393"/>
      <c r="AF180" s="393"/>
      <c r="AG180" s="393"/>
      <c r="AH180" s="393"/>
      <c r="AI180" s="393"/>
      <c r="AJ180" s="393"/>
      <c r="AK180" s="393"/>
      <c r="AL180" s="393"/>
      <c r="AM180" s="393"/>
    </row>
    <row r="181" spans="1:39" ht="19.5">
      <c r="A181" s="225"/>
      <c r="C181" s="368"/>
      <c r="D181" s="368"/>
      <c r="E181" s="368"/>
      <c r="F181" s="368"/>
      <c r="G181" s="368"/>
      <c r="H181" s="368"/>
      <c r="I181" s="368"/>
      <c r="J181" s="427"/>
      <c r="K181" s="427"/>
      <c r="L181" s="427"/>
      <c r="M181" s="427"/>
      <c r="N181" s="427"/>
      <c r="O181" s="440"/>
      <c r="R181" s="393"/>
      <c r="S181" s="393"/>
      <c r="T181" s="393"/>
      <c r="U181" s="393"/>
      <c r="V181" s="393"/>
      <c r="W181" s="393"/>
      <c r="X181" s="393"/>
      <c r="Y181" s="393"/>
      <c r="Z181" s="393"/>
      <c r="AA181" s="393"/>
      <c r="AB181" s="393"/>
      <c r="AC181" s="393"/>
      <c r="AD181" s="393"/>
      <c r="AE181" s="393"/>
      <c r="AF181" s="393"/>
      <c r="AG181" s="393"/>
      <c r="AH181" s="393"/>
      <c r="AI181" s="393"/>
      <c r="AJ181" s="393"/>
      <c r="AK181" s="393"/>
      <c r="AL181" s="393"/>
      <c r="AM181" s="393"/>
    </row>
    <row r="182" spans="1:39" ht="19.5">
      <c r="A182" s="225"/>
      <c r="C182" s="368"/>
      <c r="D182" s="368"/>
      <c r="E182" s="368"/>
      <c r="F182" s="368"/>
      <c r="G182" s="368"/>
      <c r="H182" s="368"/>
      <c r="I182" s="368"/>
      <c r="J182" s="427"/>
      <c r="K182" s="427"/>
      <c r="L182" s="427"/>
      <c r="M182" s="427"/>
      <c r="N182" s="427"/>
      <c r="O182" s="440"/>
      <c r="R182" s="393"/>
      <c r="S182" s="393"/>
      <c r="T182" s="393"/>
      <c r="U182" s="393"/>
      <c r="V182" s="393"/>
      <c r="W182" s="393"/>
      <c r="X182" s="393"/>
      <c r="Y182" s="393"/>
      <c r="Z182" s="393"/>
      <c r="AA182" s="393"/>
      <c r="AB182" s="393"/>
      <c r="AC182" s="393"/>
      <c r="AD182" s="393"/>
      <c r="AE182" s="393"/>
      <c r="AF182" s="393"/>
      <c r="AG182" s="393"/>
      <c r="AH182" s="393"/>
      <c r="AI182" s="393"/>
      <c r="AJ182" s="393"/>
      <c r="AK182" s="393"/>
      <c r="AL182" s="393"/>
      <c r="AM182" s="393"/>
    </row>
    <row r="183" spans="1:39" ht="19.5">
      <c r="A183" s="225"/>
      <c r="C183" s="368"/>
      <c r="D183" s="368"/>
      <c r="E183" s="368"/>
      <c r="F183" s="368"/>
      <c r="G183" s="368"/>
      <c r="H183" s="368"/>
      <c r="I183" s="368"/>
      <c r="J183" s="427"/>
      <c r="K183" s="427"/>
      <c r="L183" s="427"/>
      <c r="M183" s="427"/>
      <c r="N183" s="427"/>
      <c r="O183" s="440"/>
      <c r="R183" s="393"/>
      <c r="S183" s="393"/>
      <c r="T183" s="393"/>
      <c r="U183" s="393"/>
      <c r="V183" s="393"/>
      <c r="W183" s="393"/>
      <c r="X183" s="393"/>
      <c r="Y183" s="393"/>
      <c r="Z183" s="393"/>
      <c r="AA183" s="393"/>
      <c r="AB183" s="393"/>
      <c r="AC183" s="393"/>
      <c r="AD183" s="393"/>
      <c r="AE183" s="393"/>
      <c r="AF183" s="393"/>
      <c r="AG183" s="393"/>
      <c r="AH183" s="393"/>
      <c r="AI183" s="393"/>
      <c r="AJ183" s="393"/>
      <c r="AK183" s="393"/>
      <c r="AL183" s="393"/>
      <c r="AM183" s="393"/>
    </row>
    <row r="184" spans="1:39" ht="19.5">
      <c r="A184" s="225"/>
      <c r="C184" s="368"/>
      <c r="D184" s="368"/>
      <c r="E184" s="368"/>
      <c r="F184" s="368"/>
      <c r="G184" s="368"/>
      <c r="H184" s="368"/>
      <c r="I184" s="368"/>
      <c r="J184" s="427"/>
      <c r="K184" s="427"/>
      <c r="L184" s="427"/>
      <c r="M184" s="427"/>
      <c r="N184" s="427"/>
      <c r="O184" s="440"/>
      <c r="R184" s="393"/>
      <c r="S184" s="393"/>
      <c r="T184" s="393"/>
      <c r="U184" s="393"/>
      <c r="V184" s="393"/>
      <c r="W184" s="393"/>
      <c r="X184" s="393"/>
      <c r="Y184" s="393"/>
      <c r="Z184" s="393"/>
      <c r="AA184" s="393"/>
      <c r="AB184" s="393"/>
      <c r="AC184" s="393"/>
      <c r="AD184" s="393"/>
      <c r="AE184" s="393"/>
      <c r="AF184" s="393"/>
      <c r="AG184" s="393"/>
      <c r="AH184" s="393"/>
      <c r="AI184" s="393"/>
      <c r="AJ184" s="393"/>
      <c r="AK184" s="393"/>
      <c r="AL184" s="393"/>
      <c r="AM184" s="393"/>
    </row>
    <row r="185" spans="1:39" ht="19.5">
      <c r="A185" s="225"/>
      <c r="C185" s="368"/>
      <c r="D185" s="368"/>
      <c r="E185" s="368"/>
      <c r="F185" s="368"/>
      <c r="G185" s="368"/>
      <c r="H185" s="368"/>
      <c r="I185" s="368"/>
      <c r="J185" s="427"/>
      <c r="K185" s="427"/>
      <c r="L185" s="427"/>
      <c r="M185" s="427"/>
      <c r="N185" s="427"/>
      <c r="O185" s="440"/>
      <c r="R185" s="393"/>
      <c r="S185" s="393"/>
      <c r="T185" s="393"/>
      <c r="U185" s="393"/>
      <c r="V185" s="393"/>
      <c r="W185" s="393"/>
      <c r="X185" s="393"/>
      <c r="Y185" s="393"/>
      <c r="Z185" s="393"/>
      <c r="AA185" s="393"/>
      <c r="AB185" s="393"/>
      <c r="AC185" s="393"/>
      <c r="AD185" s="393"/>
      <c r="AE185" s="393"/>
      <c r="AF185" s="393"/>
      <c r="AG185" s="393"/>
      <c r="AH185" s="393"/>
      <c r="AI185" s="393"/>
      <c r="AJ185" s="393"/>
      <c r="AK185" s="393"/>
      <c r="AL185" s="393"/>
      <c r="AM185" s="393"/>
    </row>
    <row r="186" spans="1:39" ht="19.5">
      <c r="A186" s="225"/>
      <c r="C186" s="368"/>
      <c r="D186" s="368"/>
      <c r="E186" s="368"/>
      <c r="F186" s="368"/>
      <c r="G186" s="368"/>
      <c r="H186" s="368"/>
      <c r="I186" s="368"/>
      <c r="J186" s="427"/>
      <c r="K186" s="427"/>
      <c r="L186" s="427"/>
      <c r="M186" s="427"/>
      <c r="N186" s="427"/>
      <c r="O186" s="440"/>
      <c r="R186" s="393"/>
      <c r="S186" s="393"/>
      <c r="T186" s="393"/>
      <c r="U186" s="393"/>
      <c r="V186" s="393"/>
      <c r="W186" s="393"/>
      <c r="X186" s="393"/>
      <c r="Y186" s="393"/>
      <c r="Z186" s="393"/>
      <c r="AA186" s="393"/>
      <c r="AB186" s="393"/>
      <c r="AC186" s="393"/>
      <c r="AD186" s="393"/>
      <c r="AE186" s="393"/>
      <c r="AF186" s="393"/>
      <c r="AG186" s="393"/>
      <c r="AH186" s="393"/>
      <c r="AI186" s="393"/>
      <c r="AJ186" s="393"/>
      <c r="AK186" s="393"/>
      <c r="AL186" s="393"/>
      <c r="AM186" s="393"/>
    </row>
    <row r="187" spans="1:39" ht="19.5">
      <c r="A187" s="225"/>
      <c r="C187" s="368"/>
      <c r="D187" s="368"/>
      <c r="E187" s="368"/>
      <c r="F187" s="368"/>
      <c r="G187" s="368"/>
      <c r="H187" s="368"/>
      <c r="I187" s="368"/>
      <c r="J187" s="427"/>
      <c r="K187" s="427"/>
      <c r="L187" s="427"/>
      <c r="M187" s="427"/>
      <c r="N187" s="427"/>
      <c r="O187" s="440"/>
      <c r="R187" s="393"/>
      <c r="S187" s="393"/>
      <c r="T187" s="393"/>
      <c r="U187" s="393"/>
      <c r="V187" s="393"/>
      <c r="W187" s="393"/>
      <c r="X187" s="393"/>
      <c r="Y187" s="393"/>
      <c r="Z187" s="393"/>
      <c r="AA187" s="393"/>
      <c r="AB187" s="393"/>
      <c r="AC187" s="393"/>
      <c r="AD187" s="393"/>
      <c r="AE187" s="393"/>
      <c r="AF187" s="393"/>
      <c r="AG187" s="393"/>
      <c r="AH187" s="393"/>
      <c r="AI187" s="393"/>
      <c r="AJ187" s="393"/>
      <c r="AK187" s="393"/>
      <c r="AL187" s="393"/>
      <c r="AM187" s="393"/>
    </row>
    <row r="188" spans="1:39" ht="19.5">
      <c r="A188" s="225"/>
      <c r="C188" s="368"/>
      <c r="D188" s="368"/>
      <c r="E188" s="368"/>
      <c r="F188" s="368"/>
      <c r="G188" s="368"/>
      <c r="H188" s="368"/>
      <c r="I188" s="368"/>
      <c r="J188" s="427"/>
      <c r="K188" s="427"/>
      <c r="L188" s="427"/>
      <c r="M188" s="427"/>
      <c r="N188" s="427"/>
      <c r="O188" s="440"/>
      <c r="R188" s="393"/>
      <c r="S188" s="393"/>
      <c r="T188" s="393"/>
      <c r="U188" s="393"/>
      <c r="V188" s="393"/>
      <c r="W188" s="393"/>
      <c r="X188" s="393"/>
      <c r="Y188" s="393"/>
      <c r="Z188" s="393"/>
      <c r="AA188" s="393"/>
      <c r="AB188" s="393"/>
      <c r="AC188" s="393"/>
      <c r="AD188" s="393"/>
      <c r="AE188" s="393"/>
      <c r="AF188" s="393"/>
      <c r="AG188" s="393"/>
      <c r="AH188" s="393"/>
      <c r="AI188" s="393"/>
      <c r="AJ188" s="393"/>
      <c r="AK188" s="393"/>
      <c r="AL188" s="393"/>
      <c r="AM188" s="393"/>
    </row>
    <row r="189" spans="1:39" ht="19.5">
      <c r="A189" s="225"/>
      <c r="C189" s="368"/>
      <c r="D189" s="368"/>
      <c r="E189" s="368"/>
      <c r="F189" s="368"/>
      <c r="G189" s="368"/>
      <c r="H189" s="368"/>
      <c r="I189" s="368"/>
      <c r="J189" s="427"/>
      <c r="K189" s="427"/>
      <c r="L189" s="427"/>
      <c r="M189" s="427"/>
      <c r="N189" s="427"/>
      <c r="O189" s="440"/>
      <c r="R189" s="393"/>
      <c r="S189" s="393"/>
      <c r="T189" s="393"/>
      <c r="U189" s="393"/>
      <c r="V189" s="393"/>
      <c r="W189" s="393"/>
      <c r="X189" s="393"/>
      <c r="Y189" s="393"/>
      <c r="Z189" s="393"/>
      <c r="AA189" s="393"/>
      <c r="AB189" s="393"/>
      <c r="AC189" s="393"/>
      <c r="AD189" s="393"/>
      <c r="AE189" s="393"/>
      <c r="AF189" s="393"/>
      <c r="AG189" s="393"/>
      <c r="AH189" s="393"/>
      <c r="AI189" s="393"/>
      <c r="AJ189" s="393"/>
      <c r="AK189" s="393"/>
      <c r="AL189" s="393"/>
      <c r="AM189" s="393"/>
    </row>
    <row r="190" spans="1:39" ht="19.5">
      <c r="A190" s="225"/>
      <c r="C190" s="368"/>
      <c r="D190" s="368"/>
      <c r="E190" s="368"/>
      <c r="F190" s="368"/>
      <c r="G190" s="368"/>
      <c r="H190" s="368"/>
      <c r="I190" s="368"/>
      <c r="J190" s="427"/>
      <c r="K190" s="427"/>
      <c r="L190" s="427"/>
      <c r="M190" s="427"/>
      <c r="N190" s="427"/>
      <c r="O190" s="440"/>
      <c r="R190" s="393"/>
      <c r="S190" s="393"/>
      <c r="T190" s="393"/>
      <c r="U190" s="393"/>
      <c r="V190" s="393"/>
      <c r="W190" s="393"/>
      <c r="X190" s="393"/>
      <c r="Y190" s="393"/>
      <c r="Z190" s="393"/>
      <c r="AA190" s="393"/>
      <c r="AB190" s="393"/>
      <c r="AC190" s="393"/>
      <c r="AD190" s="393"/>
      <c r="AE190" s="393"/>
      <c r="AF190" s="393"/>
      <c r="AG190" s="393"/>
      <c r="AH190" s="393"/>
      <c r="AI190" s="393"/>
      <c r="AJ190" s="393"/>
      <c r="AK190" s="393"/>
      <c r="AL190" s="393"/>
      <c r="AM190" s="393"/>
    </row>
    <row r="191" spans="1:39" ht="19.5">
      <c r="A191" s="225"/>
      <c r="C191" s="368"/>
      <c r="D191" s="368"/>
      <c r="E191" s="368"/>
      <c r="F191" s="368"/>
      <c r="G191" s="368"/>
      <c r="H191" s="368"/>
      <c r="I191" s="368"/>
      <c r="J191" s="427"/>
      <c r="K191" s="427"/>
      <c r="L191" s="427"/>
      <c r="M191" s="427"/>
      <c r="N191" s="427"/>
      <c r="O191" s="440"/>
      <c r="R191" s="393"/>
      <c r="S191" s="393"/>
      <c r="T191" s="393"/>
      <c r="U191" s="393"/>
      <c r="V191" s="393"/>
      <c r="W191" s="393"/>
      <c r="X191" s="393"/>
      <c r="Y191" s="393"/>
      <c r="Z191" s="393"/>
      <c r="AA191" s="393"/>
      <c r="AB191" s="393"/>
      <c r="AC191" s="393"/>
      <c r="AD191" s="393"/>
      <c r="AE191" s="393"/>
      <c r="AF191" s="393"/>
      <c r="AG191" s="393"/>
      <c r="AH191" s="393"/>
      <c r="AI191" s="393"/>
      <c r="AJ191" s="393"/>
      <c r="AK191" s="393"/>
      <c r="AL191" s="393"/>
      <c r="AM191" s="393"/>
    </row>
    <row r="192" spans="1:39" ht="19.5">
      <c r="A192" s="225"/>
      <c r="C192" s="368"/>
      <c r="D192" s="368"/>
      <c r="E192" s="368"/>
      <c r="F192" s="368"/>
      <c r="G192" s="368"/>
      <c r="H192" s="368"/>
      <c r="I192" s="368"/>
      <c r="J192" s="427"/>
      <c r="K192" s="427"/>
      <c r="L192" s="427"/>
      <c r="M192" s="427"/>
      <c r="N192" s="427"/>
      <c r="O192" s="440"/>
      <c r="R192" s="393"/>
      <c r="S192" s="393"/>
      <c r="T192" s="393"/>
      <c r="U192" s="393"/>
      <c r="V192" s="393"/>
      <c r="W192" s="393"/>
      <c r="X192" s="393"/>
      <c r="Y192" s="393"/>
      <c r="Z192" s="393"/>
      <c r="AA192" s="393"/>
      <c r="AB192" s="393"/>
      <c r="AC192" s="393"/>
      <c r="AD192" s="393"/>
      <c r="AE192" s="393"/>
      <c r="AF192" s="393"/>
      <c r="AG192" s="393"/>
      <c r="AH192" s="393"/>
      <c r="AI192" s="393"/>
      <c r="AJ192" s="393"/>
      <c r="AK192" s="393"/>
      <c r="AL192" s="393"/>
      <c r="AM192" s="393"/>
    </row>
    <row r="193" spans="1:39" ht="19.5">
      <c r="A193" s="37"/>
      <c r="O193" s="440"/>
      <c r="R193" s="393"/>
      <c r="S193" s="393"/>
      <c r="T193" s="393"/>
      <c r="U193" s="393"/>
      <c r="V193" s="393"/>
      <c r="W193" s="393"/>
      <c r="X193" s="393"/>
      <c r="Y193" s="393"/>
      <c r="Z193" s="393"/>
      <c r="AA193" s="393"/>
      <c r="AB193" s="393"/>
      <c r="AC193" s="393"/>
      <c r="AD193" s="393"/>
      <c r="AE193" s="393"/>
      <c r="AF193" s="393"/>
      <c r="AG193" s="393"/>
      <c r="AH193" s="393"/>
      <c r="AI193" s="393"/>
      <c r="AJ193" s="393"/>
      <c r="AK193" s="393"/>
      <c r="AL193" s="393"/>
      <c r="AM193" s="393"/>
    </row>
    <row r="194" spans="1:39" ht="19.5">
      <c r="A194" s="37"/>
      <c r="O194" s="440"/>
      <c r="R194" s="393"/>
      <c r="S194" s="393"/>
      <c r="T194" s="393"/>
      <c r="U194" s="393"/>
      <c r="V194" s="393"/>
      <c r="W194" s="393"/>
      <c r="X194" s="393"/>
      <c r="Y194" s="393"/>
      <c r="Z194" s="393"/>
      <c r="AA194" s="393"/>
      <c r="AB194" s="393"/>
      <c r="AC194" s="393"/>
      <c r="AD194" s="393"/>
      <c r="AE194" s="393"/>
      <c r="AF194" s="393"/>
      <c r="AG194" s="393"/>
      <c r="AH194" s="393"/>
      <c r="AI194" s="393"/>
      <c r="AJ194" s="393"/>
      <c r="AK194" s="393"/>
      <c r="AL194" s="393"/>
      <c r="AM194" s="393"/>
    </row>
    <row r="195" spans="1:39" ht="19.5">
      <c r="A195" s="37"/>
      <c r="O195" s="440"/>
      <c r="R195" s="393"/>
      <c r="S195" s="393"/>
      <c r="T195" s="393"/>
      <c r="U195" s="393"/>
      <c r="V195" s="393"/>
      <c r="W195" s="393"/>
      <c r="X195" s="393"/>
      <c r="Y195" s="393"/>
      <c r="Z195" s="393"/>
      <c r="AA195" s="393"/>
      <c r="AB195" s="393"/>
      <c r="AC195" s="393"/>
      <c r="AD195" s="393"/>
      <c r="AE195" s="393"/>
      <c r="AF195" s="393"/>
      <c r="AG195" s="393"/>
      <c r="AH195" s="393"/>
      <c r="AI195" s="393"/>
      <c r="AJ195" s="393"/>
      <c r="AK195" s="393"/>
      <c r="AL195" s="393"/>
      <c r="AM195" s="393"/>
    </row>
    <row r="196" spans="1:39" ht="19.5">
      <c r="A196" s="37"/>
      <c r="O196" s="440"/>
      <c r="R196" s="393"/>
      <c r="S196" s="393"/>
      <c r="T196" s="393"/>
      <c r="U196" s="393"/>
      <c r="V196" s="393"/>
      <c r="W196" s="393"/>
      <c r="X196" s="393"/>
      <c r="Y196" s="393"/>
      <c r="Z196" s="393"/>
      <c r="AA196" s="393"/>
      <c r="AB196" s="393"/>
      <c r="AC196" s="393"/>
      <c r="AD196" s="393"/>
      <c r="AE196" s="393"/>
      <c r="AF196" s="393"/>
      <c r="AG196" s="393"/>
      <c r="AH196" s="393"/>
      <c r="AI196" s="393"/>
      <c r="AJ196" s="393"/>
      <c r="AK196" s="393"/>
      <c r="AL196" s="393"/>
      <c r="AM196" s="393"/>
    </row>
    <row r="197" spans="1:39" ht="19.5">
      <c r="A197" s="37"/>
      <c r="O197" s="440"/>
      <c r="R197" s="393"/>
      <c r="S197" s="393"/>
      <c r="T197" s="393"/>
      <c r="U197" s="393"/>
      <c r="V197" s="393"/>
      <c r="W197" s="393"/>
      <c r="X197" s="393"/>
      <c r="Y197" s="393"/>
      <c r="Z197" s="393"/>
      <c r="AA197" s="393"/>
      <c r="AB197" s="393"/>
      <c r="AC197" s="393"/>
      <c r="AD197" s="393"/>
      <c r="AE197" s="393"/>
      <c r="AF197" s="393"/>
      <c r="AG197" s="393"/>
      <c r="AH197" s="393"/>
      <c r="AI197" s="393"/>
      <c r="AJ197" s="393"/>
      <c r="AK197" s="393"/>
      <c r="AL197" s="393"/>
      <c r="AM197" s="393"/>
    </row>
    <row r="198" spans="1:39" ht="19.5">
      <c r="A198" s="37"/>
      <c r="O198" s="440"/>
      <c r="R198" s="393"/>
      <c r="S198" s="393"/>
      <c r="T198" s="393"/>
      <c r="U198" s="393"/>
      <c r="V198" s="393"/>
      <c r="W198" s="393"/>
      <c r="X198" s="393"/>
      <c r="Y198" s="393"/>
      <c r="Z198" s="393"/>
      <c r="AA198" s="393"/>
      <c r="AB198" s="393"/>
      <c r="AC198" s="393"/>
      <c r="AD198" s="393"/>
      <c r="AE198" s="393"/>
      <c r="AF198" s="393"/>
      <c r="AG198" s="393"/>
      <c r="AH198" s="393"/>
      <c r="AI198" s="393"/>
      <c r="AJ198" s="393"/>
      <c r="AK198" s="393"/>
      <c r="AL198" s="393"/>
      <c r="AM198" s="393"/>
    </row>
    <row r="199" spans="1:39" ht="19.5">
      <c r="A199" s="37"/>
      <c r="O199" s="440"/>
      <c r="R199" s="393"/>
      <c r="S199" s="393"/>
      <c r="T199" s="393"/>
      <c r="U199" s="393"/>
      <c r="V199" s="393"/>
      <c r="W199" s="393"/>
      <c r="X199" s="393"/>
      <c r="Y199" s="393"/>
      <c r="Z199" s="393"/>
      <c r="AA199" s="393"/>
      <c r="AB199" s="393"/>
      <c r="AC199" s="393"/>
      <c r="AD199" s="393"/>
      <c r="AE199" s="393"/>
      <c r="AF199" s="393"/>
      <c r="AG199" s="393"/>
      <c r="AH199" s="393"/>
      <c r="AI199" s="393"/>
      <c r="AJ199" s="393"/>
      <c r="AK199" s="393"/>
      <c r="AL199" s="393"/>
      <c r="AM199" s="393"/>
    </row>
    <row r="200" spans="1:39" ht="19.5">
      <c r="A200" s="37"/>
      <c r="O200" s="440"/>
      <c r="R200" s="393"/>
      <c r="S200" s="393"/>
      <c r="T200" s="393"/>
      <c r="U200" s="393"/>
      <c r="V200" s="393"/>
      <c r="W200" s="393"/>
      <c r="X200" s="393"/>
      <c r="Y200" s="393"/>
      <c r="Z200" s="393"/>
      <c r="AA200" s="393"/>
      <c r="AB200" s="393"/>
      <c r="AC200" s="393"/>
      <c r="AD200" s="393"/>
      <c r="AE200" s="393"/>
      <c r="AF200" s="393"/>
      <c r="AG200" s="393"/>
      <c r="AH200" s="393"/>
      <c r="AI200" s="393"/>
      <c r="AJ200" s="393"/>
      <c r="AK200" s="393"/>
      <c r="AL200" s="393"/>
      <c r="AM200" s="393"/>
    </row>
    <row r="201" spans="1:39" ht="19.5">
      <c r="A201" s="37"/>
      <c r="O201" s="440"/>
      <c r="R201" s="393"/>
      <c r="S201" s="393"/>
      <c r="T201" s="393"/>
      <c r="U201" s="393"/>
      <c r="V201" s="393"/>
      <c r="W201" s="393"/>
      <c r="X201" s="393"/>
      <c r="Y201" s="393"/>
      <c r="Z201" s="393"/>
      <c r="AA201" s="393"/>
      <c r="AB201" s="393"/>
      <c r="AC201" s="393"/>
      <c r="AD201" s="393"/>
      <c r="AE201" s="393"/>
      <c r="AF201" s="393"/>
      <c r="AG201" s="393"/>
      <c r="AH201" s="393"/>
      <c r="AI201" s="393"/>
      <c r="AJ201" s="393"/>
      <c r="AK201" s="393"/>
      <c r="AL201" s="393"/>
      <c r="AM201" s="393"/>
    </row>
    <row r="202" spans="1:39" ht="19.5">
      <c r="A202" s="37"/>
      <c r="O202" s="440"/>
      <c r="R202" s="393"/>
      <c r="S202" s="393"/>
      <c r="T202" s="393"/>
      <c r="U202" s="393"/>
      <c r="V202" s="393"/>
      <c r="W202" s="393"/>
      <c r="X202" s="393"/>
      <c r="Y202" s="393"/>
      <c r="Z202" s="393"/>
      <c r="AA202" s="393"/>
      <c r="AB202" s="393"/>
      <c r="AC202" s="393"/>
      <c r="AD202" s="393"/>
      <c r="AE202" s="393"/>
      <c r="AF202" s="393"/>
      <c r="AG202" s="393"/>
      <c r="AH202" s="393"/>
      <c r="AI202" s="393"/>
      <c r="AJ202" s="393"/>
      <c r="AK202" s="393"/>
      <c r="AL202" s="393"/>
      <c r="AM202" s="393"/>
    </row>
    <row r="203" spans="1:39" ht="19.5">
      <c r="A203" s="37"/>
      <c r="O203" s="440"/>
      <c r="R203" s="393"/>
      <c r="S203" s="393"/>
      <c r="T203" s="393"/>
      <c r="U203" s="393"/>
      <c r="V203" s="393"/>
      <c r="W203" s="393"/>
      <c r="X203" s="393"/>
      <c r="Y203" s="393"/>
      <c r="Z203" s="393"/>
      <c r="AA203" s="393"/>
      <c r="AB203" s="393"/>
      <c r="AC203" s="393"/>
      <c r="AD203" s="393"/>
      <c r="AE203" s="393"/>
      <c r="AF203" s="393"/>
      <c r="AG203" s="393"/>
      <c r="AH203" s="393"/>
      <c r="AI203" s="393"/>
      <c r="AJ203" s="393"/>
      <c r="AK203" s="393"/>
      <c r="AL203" s="393"/>
      <c r="AM203" s="393"/>
    </row>
    <row r="204" spans="1:39" ht="19.5">
      <c r="A204" s="37"/>
      <c r="O204" s="440"/>
      <c r="R204" s="393"/>
      <c r="S204" s="393"/>
      <c r="T204" s="393"/>
      <c r="U204" s="393"/>
      <c r="V204" s="393"/>
      <c r="W204" s="393"/>
      <c r="X204" s="393"/>
      <c r="Y204" s="393"/>
      <c r="Z204" s="393"/>
      <c r="AA204" s="393"/>
      <c r="AB204" s="393"/>
      <c r="AC204" s="393"/>
      <c r="AD204" s="393"/>
      <c r="AE204" s="393"/>
      <c r="AF204" s="393"/>
      <c r="AG204" s="393"/>
      <c r="AH204" s="393"/>
      <c r="AI204" s="393"/>
      <c r="AJ204" s="393"/>
      <c r="AK204" s="393"/>
      <c r="AL204" s="393"/>
      <c r="AM204" s="393"/>
    </row>
    <row r="205" spans="1:39" ht="19.5">
      <c r="A205" s="37"/>
      <c r="O205" s="440"/>
      <c r="R205" s="393"/>
      <c r="S205" s="393"/>
      <c r="T205" s="393"/>
      <c r="U205" s="393"/>
      <c r="V205" s="393"/>
      <c r="W205" s="393"/>
      <c r="X205" s="393"/>
      <c r="Y205" s="393"/>
      <c r="Z205" s="393"/>
      <c r="AA205" s="393"/>
      <c r="AB205" s="393"/>
      <c r="AC205" s="393"/>
      <c r="AD205" s="393"/>
      <c r="AE205" s="393"/>
      <c r="AF205" s="393"/>
      <c r="AG205" s="393"/>
      <c r="AH205" s="393"/>
      <c r="AI205" s="393"/>
      <c r="AJ205" s="393"/>
      <c r="AK205" s="393"/>
      <c r="AL205" s="393"/>
      <c r="AM205" s="393"/>
    </row>
    <row r="206" spans="1:39" ht="19.5">
      <c r="A206" s="37"/>
      <c r="O206" s="440"/>
      <c r="R206" s="393"/>
      <c r="S206" s="393"/>
      <c r="T206" s="393"/>
      <c r="U206" s="393"/>
      <c r="V206" s="393"/>
      <c r="W206" s="393"/>
      <c r="X206" s="393"/>
      <c r="Y206" s="393"/>
      <c r="Z206" s="393"/>
      <c r="AA206" s="393"/>
      <c r="AB206" s="393"/>
      <c r="AC206" s="393"/>
      <c r="AD206" s="393"/>
      <c r="AE206" s="393"/>
      <c r="AF206" s="393"/>
      <c r="AG206" s="393"/>
      <c r="AH206" s="393"/>
      <c r="AI206" s="393"/>
      <c r="AJ206" s="393"/>
      <c r="AK206" s="393"/>
      <c r="AL206" s="393"/>
      <c r="AM206" s="393"/>
    </row>
    <row r="207" spans="1:39" ht="19.5">
      <c r="A207" s="37"/>
      <c r="O207" s="440"/>
      <c r="R207" s="393"/>
      <c r="S207" s="393"/>
      <c r="T207" s="393"/>
      <c r="U207" s="393"/>
      <c r="V207" s="393"/>
      <c r="W207" s="393"/>
      <c r="X207" s="393"/>
      <c r="Y207" s="393"/>
      <c r="Z207" s="393"/>
      <c r="AA207" s="393"/>
      <c r="AB207" s="393"/>
      <c r="AC207" s="393"/>
      <c r="AD207" s="393"/>
      <c r="AE207" s="393"/>
      <c r="AF207" s="393"/>
      <c r="AG207" s="393"/>
      <c r="AH207" s="393"/>
      <c r="AI207" s="393"/>
      <c r="AJ207" s="393"/>
      <c r="AK207" s="393"/>
      <c r="AL207" s="393"/>
      <c r="AM207" s="393"/>
    </row>
    <row r="208" spans="1:39" ht="19.5">
      <c r="A208" s="37"/>
      <c r="O208" s="440"/>
      <c r="R208" s="393"/>
      <c r="S208" s="393"/>
      <c r="T208" s="393"/>
      <c r="U208" s="393"/>
      <c r="V208" s="393"/>
      <c r="W208" s="393"/>
      <c r="X208" s="393"/>
      <c r="Y208" s="393"/>
      <c r="Z208" s="393"/>
      <c r="AA208" s="393"/>
      <c r="AB208" s="393"/>
      <c r="AC208" s="393"/>
      <c r="AD208" s="393"/>
      <c r="AE208" s="393"/>
      <c r="AF208" s="393"/>
      <c r="AG208" s="393"/>
      <c r="AH208" s="393"/>
      <c r="AI208" s="393"/>
      <c r="AJ208" s="393"/>
      <c r="AK208" s="393"/>
      <c r="AL208" s="393"/>
      <c r="AM208" s="393"/>
    </row>
    <row r="209" spans="1:39" ht="19.5">
      <c r="A209" s="37"/>
      <c r="O209" s="440"/>
      <c r="R209" s="393"/>
      <c r="S209" s="393"/>
      <c r="T209" s="393"/>
      <c r="U209" s="393"/>
      <c r="V209" s="393"/>
      <c r="W209" s="393"/>
      <c r="X209" s="393"/>
      <c r="Y209" s="393"/>
      <c r="Z209" s="393"/>
      <c r="AA209" s="393"/>
      <c r="AB209" s="393"/>
      <c r="AC209" s="393"/>
      <c r="AD209" s="393"/>
      <c r="AE209" s="393"/>
      <c r="AF209" s="393"/>
      <c r="AG209" s="393"/>
      <c r="AH209" s="393"/>
      <c r="AI209" s="393"/>
      <c r="AJ209" s="393"/>
      <c r="AK209" s="393"/>
      <c r="AL209" s="393"/>
      <c r="AM209" s="393"/>
    </row>
    <row r="210" spans="1:39" ht="19.5">
      <c r="A210" s="37"/>
      <c r="O210" s="440"/>
      <c r="R210" s="393"/>
      <c r="S210" s="393"/>
      <c r="T210" s="393"/>
      <c r="U210" s="393"/>
      <c r="V210" s="393"/>
      <c r="W210" s="393"/>
      <c r="X210" s="393"/>
      <c r="Y210" s="393"/>
      <c r="Z210" s="393"/>
      <c r="AA210" s="393"/>
      <c r="AB210" s="393"/>
      <c r="AC210" s="393"/>
      <c r="AD210" s="393"/>
      <c r="AE210" s="393"/>
      <c r="AF210" s="393"/>
      <c r="AG210" s="393"/>
      <c r="AH210" s="393"/>
      <c r="AI210" s="393"/>
      <c r="AJ210" s="393"/>
      <c r="AK210" s="393"/>
      <c r="AL210" s="393"/>
      <c r="AM210" s="393"/>
    </row>
    <row r="211" spans="1:39" ht="19.5">
      <c r="A211" s="37"/>
      <c r="O211" s="440"/>
      <c r="R211" s="393"/>
      <c r="S211" s="393"/>
      <c r="T211" s="393"/>
      <c r="U211" s="393"/>
      <c r="V211" s="393"/>
      <c r="W211" s="393"/>
      <c r="X211" s="393"/>
      <c r="Y211" s="393"/>
      <c r="Z211" s="393"/>
      <c r="AA211" s="393"/>
      <c r="AB211" s="393"/>
      <c r="AC211" s="393"/>
      <c r="AD211" s="393"/>
      <c r="AE211" s="393"/>
      <c r="AF211" s="393"/>
      <c r="AG211" s="393"/>
      <c r="AH211" s="393"/>
      <c r="AI211" s="393"/>
      <c r="AJ211" s="393"/>
      <c r="AK211" s="393"/>
      <c r="AL211" s="393"/>
      <c r="AM211" s="393"/>
    </row>
    <row r="212" spans="1:39" ht="19.5">
      <c r="A212" s="37"/>
      <c r="O212" s="440"/>
      <c r="R212" s="393"/>
      <c r="S212" s="393"/>
      <c r="T212" s="393"/>
      <c r="U212" s="393"/>
      <c r="V212" s="393"/>
      <c r="W212" s="393"/>
      <c r="X212" s="393"/>
      <c r="Y212" s="393"/>
      <c r="Z212" s="393"/>
      <c r="AA212" s="393"/>
      <c r="AB212" s="393"/>
      <c r="AC212" s="393"/>
      <c r="AD212" s="393"/>
      <c r="AE212" s="393"/>
      <c r="AF212" s="393"/>
      <c r="AG212" s="393"/>
      <c r="AH212" s="393"/>
      <c r="AI212" s="393"/>
      <c r="AJ212" s="393"/>
      <c r="AK212" s="393"/>
      <c r="AL212" s="393"/>
      <c r="AM212" s="393"/>
    </row>
    <row r="213" spans="1:39" ht="19.5">
      <c r="A213" s="37"/>
      <c r="O213" s="440"/>
      <c r="R213" s="393"/>
      <c r="S213" s="393"/>
      <c r="T213" s="393"/>
      <c r="U213" s="393"/>
      <c r="V213" s="393"/>
      <c r="W213" s="393"/>
      <c r="X213" s="393"/>
      <c r="Y213" s="393"/>
      <c r="Z213" s="393"/>
      <c r="AA213" s="393"/>
      <c r="AB213" s="393"/>
      <c r="AC213" s="393"/>
      <c r="AD213" s="393"/>
      <c r="AE213" s="393"/>
      <c r="AF213" s="393"/>
      <c r="AG213" s="393"/>
      <c r="AH213" s="393"/>
      <c r="AI213" s="393"/>
      <c r="AJ213" s="393"/>
      <c r="AK213" s="393"/>
      <c r="AL213" s="393"/>
      <c r="AM213" s="393"/>
    </row>
    <row r="214" spans="1:39" ht="19.5">
      <c r="A214" s="37"/>
      <c r="O214" s="440"/>
      <c r="R214" s="393"/>
      <c r="S214" s="393"/>
      <c r="T214" s="393"/>
      <c r="U214" s="393"/>
      <c r="V214" s="393"/>
      <c r="W214" s="393"/>
      <c r="X214" s="393"/>
      <c r="Y214" s="393"/>
      <c r="Z214" s="393"/>
      <c r="AA214" s="393"/>
      <c r="AB214" s="393"/>
      <c r="AC214" s="393"/>
      <c r="AD214" s="393"/>
      <c r="AE214" s="393"/>
      <c r="AF214" s="393"/>
      <c r="AG214" s="393"/>
      <c r="AH214" s="393"/>
      <c r="AI214" s="393"/>
      <c r="AJ214" s="393"/>
      <c r="AK214" s="393"/>
      <c r="AL214" s="393"/>
      <c r="AM214" s="393"/>
    </row>
    <row r="215" spans="1:39" ht="19.5">
      <c r="A215" s="37"/>
      <c r="O215" s="440"/>
      <c r="R215" s="393"/>
      <c r="S215" s="393"/>
      <c r="T215" s="393"/>
      <c r="U215" s="393"/>
      <c r="V215" s="393"/>
      <c r="W215" s="393"/>
      <c r="X215" s="393"/>
      <c r="Y215" s="393"/>
      <c r="Z215" s="393"/>
      <c r="AA215" s="393"/>
      <c r="AB215" s="393"/>
      <c r="AC215" s="393"/>
      <c r="AD215" s="393"/>
      <c r="AE215" s="393"/>
      <c r="AF215" s="393"/>
      <c r="AG215" s="393"/>
      <c r="AH215" s="393"/>
      <c r="AI215" s="393"/>
      <c r="AJ215" s="393"/>
      <c r="AK215" s="393"/>
      <c r="AL215" s="393"/>
      <c r="AM215" s="393"/>
    </row>
    <row r="216" spans="1:39" ht="19.5">
      <c r="A216" s="37"/>
      <c r="O216" s="440"/>
      <c r="R216" s="393"/>
      <c r="S216" s="393"/>
      <c r="T216" s="393"/>
      <c r="U216" s="393"/>
      <c r="V216" s="393"/>
      <c r="W216" s="393"/>
      <c r="X216" s="393"/>
      <c r="Y216" s="393"/>
      <c r="Z216" s="393"/>
      <c r="AA216" s="393"/>
      <c r="AB216" s="393"/>
      <c r="AC216" s="393"/>
      <c r="AD216" s="393"/>
      <c r="AE216" s="393"/>
      <c r="AF216" s="393"/>
      <c r="AG216" s="393"/>
      <c r="AH216" s="393"/>
      <c r="AI216" s="393"/>
      <c r="AJ216" s="393"/>
      <c r="AK216" s="393"/>
      <c r="AL216" s="393"/>
      <c r="AM216" s="393"/>
    </row>
    <row r="217" spans="1:39" ht="19.5">
      <c r="A217" s="37"/>
      <c r="O217" s="440"/>
      <c r="R217" s="393"/>
      <c r="S217" s="393"/>
      <c r="T217" s="393"/>
      <c r="U217" s="393"/>
      <c r="V217" s="393"/>
      <c r="W217" s="393"/>
      <c r="X217" s="393"/>
      <c r="Y217" s="393"/>
      <c r="Z217" s="393"/>
      <c r="AA217" s="393"/>
      <c r="AB217" s="393"/>
      <c r="AC217" s="393"/>
      <c r="AD217" s="393"/>
      <c r="AE217" s="393"/>
      <c r="AF217" s="393"/>
      <c r="AG217" s="393"/>
      <c r="AH217" s="393"/>
      <c r="AI217" s="393"/>
      <c r="AJ217" s="393"/>
      <c r="AK217" s="393"/>
      <c r="AL217" s="393"/>
      <c r="AM217" s="393"/>
    </row>
    <row r="218" spans="1:39" ht="19.5">
      <c r="A218" s="37"/>
      <c r="O218" s="440"/>
      <c r="R218" s="393"/>
      <c r="S218" s="393"/>
      <c r="T218" s="393"/>
      <c r="U218" s="393"/>
      <c r="V218" s="393"/>
      <c r="W218" s="393"/>
      <c r="X218" s="393"/>
      <c r="Y218" s="393"/>
      <c r="Z218" s="393"/>
      <c r="AA218" s="393"/>
      <c r="AB218" s="393"/>
      <c r="AC218" s="393"/>
      <c r="AD218" s="393"/>
      <c r="AE218" s="393"/>
      <c r="AF218" s="393"/>
      <c r="AG218" s="393"/>
      <c r="AH218" s="393"/>
      <c r="AI218" s="393"/>
      <c r="AJ218" s="393"/>
      <c r="AK218" s="393"/>
      <c r="AL218" s="393"/>
      <c r="AM218" s="393"/>
    </row>
    <row r="219" spans="1:39">
      <c r="A219" s="37"/>
      <c r="R219" s="393"/>
      <c r="S219" s="393"/>
      <c r="T219" s="393"/>
      <c r="U219" s="393"/>
      <c r="V219" s="393"/>
      <c r="W219" s="393"/>
      <c r="X219" s="393"/>
      <c r="Y219" s="393"/>
      <c r="Z219" s="393"/>
      <c r="AA219" s="393"/>
      <c r="AB219" s="393"/>
      <c r="AC219" s="393"/>
      <c r="AD219" s="393"/>
      <c r="AE219" s="393"/>
      <c r="AF219" s="393"/>
      <c r="AG219" s="393"/>
      <c r="AH219" s="393"/>
      <c r="AI219" s="393"/>
      <c r="AJ219" s="393"/>
      <c r="AK219" s="393"/>
      <c r="AL219" s="393"/>
      <c r="AM219" s="393"/>
    </row>
    <row r="220" spans="1:39">
      <c r="A220" s="37"/>
      <c r="R220" s="393"/>
      <c r="S220" s="393"/>
      <c r="T220" s="393"/>
      <c r="U220" s="393"/>
      <c r="V220" s="393"/>
      <c r="W220" s="393"/>
      <c r="X220" s="393"/>
      <c r="Y220" s="393"/>
      <c r="Z220" s="393"/>
      <c r="AA220" s="393"/>
      <c r="AB220" s="393"/>
      <c r="AC220" s="393"/>
      <c r="AD220" s="393"/>
      <c r="AE220" s="393"/>
      <c r="AF220" s="393"/>
      <c r="AG220" s="393"/>
      <c r="AH220" s="393"/>
      <c r="AI220" s="393"/>
      <c r="AJ220" s="393"/>
      <c r="AK220" s="393"/>
      <c r="AL220" s="393"/>
      <c r="AM220" s="393"/>
    </row>
    <row r="221" spans="1:39">
      <c r="A221" s="37"/>
      <c r="R221" s="393"/>
      <c r="S221" s="393"/>
      <c r="T221" s="393"/>
      <c r="U221" s="393"/>
      <c r="V221" s="393"/>
      <c r="W221" s="393"/>
      <c r="X221" s="393"/>
      <c r="Y221" s="393"/>
      <c r="Z221" s="393"/>
      <c r="AA221" s="393"/>
      <c r="AB221" s="393"/>
      <c r="AC221" s="393"/>
      <c r="AD221" s="393"/>
      <c r="AE221" s="393"/>
      <c r="AF221" s="393"/>
      <c r="AG221" s="393"/>
      <c r="AH221" s="393"/>
      <c r="AI221" s="393"/>
      <c r="AJ221" s="393"/>
      <c r="AK221" s="393"/>
      <c r="AL221" s="393"/>
      <c r="AM221" s="393"/>
    </row>
    <row r="222" spans="1:39">
      <c r="A222" s="37"/>
      <c r="R222" s="393"/>
      <c r="S222" s="393"/>
      <c r="T222" s="393"/>
      <c r="U222" s="393"/>
      <c r="V222" s="393"/>
      <c r="W222" s="393"/>
      <c r="X222" s="393"/>
      <c r="Y222" s="393"/>
      <c r="Z222" s="393"/>
      <c r="AA222" s="393"/>
      <c r="AB222" s="393"/>
      <c r="AC222" s="393"/>
      <c r="AD222" s="393"/>
      <c r="AE222" s="393"/>
      <c r="AF222" s="393"/>
      <c r="AG222" s="393"/>
      <c r="AH222" s="393"/>
      <c r="AI222" s="393"/>
      <c r="AJ222" s="393"/>
      <c r="AK222" s="393"/>
      <c r="AL222" s="393"/>
      <c r="AM222" s="393"/>
    </row>
    <row r="223" spans="1:39">
      <c r="A223" s="37"/>
      <c r="R223" s="393"/>
      <c r="S223" s="393"/>
      <c r="T223" s="393"/>
      <c r="U223" s="393"/>
      <c r="V223" s="393"/>
      <c r="W223" s="393"/>
      <c r="X223" s="393"/>
      <c r="Y223" s="393"/>
      <c r="Z223" s="393"/>
      <c r="AA223" s="393"/>
      <c r="AB223" s="393"/>
      <c r="AC223" s="393"/>
      <c r="AD223" s="393"/>
      <c r="AE223" s="393"/>
      <c r="AF223" s="393"/>
      <c r="AG223" s="393"/>
      <c r="AH223" s="393"/>
      <c r="AI223" s="393"/>
      <c r="AJ223" s="393"/>
      <c r="AK223" s="393"/>
      <c r="AL223" s="393"/>
      <c r="AM223" s="393"/>
    </row>
    <row r="224" spans="1:39">
      <c r="A224" s="37"/>
      <c r="R224" s="393"/>
      <c r="S224" s="393"/>
      <c r="T224" s="393"/>
      <c r="U224" s="393"/>
      <c r="V224" s="393"/>
      <c r="W224" s="393"/>
      <c r="X224" s="393"/>
      <c r="Y224" s="393"/>
      <c r="Z224" s="393"/>
      <c r="AA224" s="393"/>
      <c r="AB224" s="393"/>
      <c r="AC224" s="393"/>
      <c r="AD224" s="393"/>
      <c r="AE224" s="393"/>
      <c r="AF224" s="393"/>
      <c r="AG224" s="393"/>
      <c r="AH224" s="393"/>
      <c r="AI224" s="393"/>
      <c r="AJ224" s="393"/>
      <c r="AK224" s="393"/>
      <c r="AL224" s="393"/>
      <c r="AM224" s="393"/>
    </row>
    <row r="225" spans="1:39">
      <c r="A225" s="37"/>
      <c r="R225" s="393"/>
      <c r="S225" s="393"/>
      <c r="T225" s="393"/>
      <c r="U225" s="393"/>
      <c r="V225" s="393"/>
      <c r="W225" s="393"/>
      <c r="X225" s="393"/>
      <c r="Y225" s="393"/>
      <c r="Z225" s="393"/>
      <c r="AA225" s="393"/>
      <c r="AB225" s="393"/>
      <c r="AC225" s="393"/>
      <c r="AD225" s="393"/>
      <c r="AE225" s="393"/>
      <c r="AF225" s="393"/>
      <c r="AG225" s="393"/>
      <c r="AH225" s="393"/>
      <c r="AI225" s="393"/>
      <c r="AJ225" s="393"/>
      <c r="AK225" s="393"/>
      <c r="AL225" s="393"/>
      <c r="AM225" s="393"/>
    </row>
    <row r="226" spans="1:39">
      <c r="A226" s="37"/>
      <c r="R226" s="393"/>
      <c r="S226" s="393"/>
      <c r="T226" s="393"/>
      <c r="U226" s="393"/>
      <c r="V226" s="393"/>
      <c r="W226" s="393"/>
      <c r="X226" s="393"/>
      <c r="Y226" s="393"/>
      <c r="Z226" s="393"/>
      <c r="AA226" s="393"/>
      <c r="AB226" s="393"/>
      <c r="AC226" s="393"/>
      <c r="AD226" s="393"/>
      <c r="AE226" s="393"/>
      <c r="AF226" s="393"/>
      <c r="AG226" s="393"/>
      <c r="AH226" s="393"/>
      <c r="AI226" s="393"/>
      <c r="AJ226" s="393"/>
      <c r="AK226" s="393"/>
      <c r="AL226" s="393"/>
      <c r="AM226" s="393"/>
    </row>
    <row r="227" spans="1:39">
      <c r="A227" s="37"/>
      <c r="R227" s="393"/>
      <c r="S227" s="393"/>
      <c r="T227" s="393"/>
      <c r="U227" s="393"/>
      <c r="V227" s="393"/>
      <c r="W227" s="393"/>
      <c r="X227" s="393"/>
      <c r="Y227" s="393"/>
      <c r="Z227" s="393"/>
      <c r="AA227" s="393"/>
      <c r="AB227" s="393"/>
      <c r="AC227" s="393"/>
      <c r="AD227" s="393"/>
      <c r="AE227" s="393"/>
      <c r="AF227" s="393"/>
      <c r="AG227" s="393"/>
      <c r="AH227" s="393"/>
      <c r="AI227" s="393"/>
      <c r="AJ227" s="393"/>
      <c r="AK227" s="393"/>
      <c r="AL227" s="393"/>
      <c r="AM227" s="393"/>
    </row>
    <row r="228" spans="1:39">
      <c r="A228" s="37"/>
      <c r="R228" s="393"/>
      <c r="S228" s="393"/>
      <c r="T228" s="393"/>
      <c r="U228" s="393"/>
      <c r="V228" s="393"/>
      <c r="W228" s="393"/>
      <c r="X228" s="393"/>
      <c r="Y228" s="393"/>
      <c r="Z228" s="393"/>
      <c r="AA228" s="393"/>
      <c r="AB228" s="393"/>
      <c r="AC228" s="393"/>
      <c r="AD228" s="393"/>
      <c r="AE228" s="393"/>
      <c r="AF228" s="393"/>
      <c r="AG228" s="393"/>
      <c r="AH228" s="393"/>
      <c r="AI228" s="393"/>
      <c r="AJ228" s="393"/>
      <c r="AK228" s="393"/>
      <c r="AL228" s="393"/>
      <c r="AM228" s="393"/>
    </row>
    <row r="229" spans="1:39">
      <c r="A229" s="37"/>
      <c r="R229" s="393"/>
      <c r="S229" s="393"/>
      <c r="T229" s="393"/>
      <c r="U229" s="393"/>
      <c r="V229" s="393"/>
      <c r="W229" s="393"/>
      <c r="X229" s="393"/>
      <c r="Y229" s="393"/>
      <c r="Z229" s="393"/>
      <c r="AA229" s="393"/>
      <c r="AB229" s="393"/>
      <c r="AC229" s="393"/>
      <c r="AD229" s="393"/>
      <c r="AE229" s="393"/>
      <c r="AF229" s="393"/>
      <c r="AG229" s="393"/>
      <c r="AH229" s="393"/>
      <c r="AI229" s="393"/>
      <c r="AJ229" s="393"/>
      <c r="AK229" s="393"/>
      <c r="AL229" s="393"/>
      <c r="AM229" s="393"/>
    </row>
    <row r="230" spans="1:39">
      <c r="A230" s="37"/>
      <c r="R230" s="393"/>
      <c r="S230" s="393"/>
      <c r="T230" s="393"/>
      <c r="U230" s="393"/>
      <c r="V230" s="393"/>
      <c r="W230" s="393"/>
      <c r="X230" s="393"/>
      <c r="Y230" s="393"/>
      <c r="Z230" s="393"/>
      <c r="AA230" s="393"/>
      <c r="AB230" s="393"/>
      <c r="AC230" s="393"/>
      <c r="AD230" s="393"/>
      <c r="AE230" s="393"/>
      <c r="AF230" s="393"/>
      <c r="AG230" s="393"/>
      <c r="AH230" s="393"/>
      <c r="AI230" s="393"/>
      <c r="AJ230" s="393"/>
      <c r="AK230" s="393"/>
      <c r="AL230" s="393"/>
      <c r="AM230" s="393"/>
    </row>
    <row r="231" spans="1:39">
      <c r="A231" s="37"/>
      <c r="R231" s="393"/>
      <c r="S231" s="393"/>
      <c r="T231" s="393"/>
      <c r="U231" s="393"/>
      <c r="V231" s="393"/>
      <c r="W231" s="393"/>
      <c r="X231" s="393"/>
      <c r="Y231" s="393"/>
      <c r="Z231" s="393"/>
      <c r="AA231" s="393"/>
      <c r="AB231" s="393"/>
      <c r="AC231" s="393"/>
      <c r="AD231" s="393"/>
      <c r="AE231" s="393"/>
      <c r="AF231" s="393"/>
      <c r="AG231" s="393"/>
      <c r="AH231" s="393"/>
      <c r="AI231" s="393"/>
      <c r="AJ231" s="393"/>
      <c r="AK231" s="393"/>
      <c r="AL231" s="393"/>
      <c r="AM231" s="393"/>
    </row>
    <row r="232" spans="1:39" s="21" customFormat="1">
      <c r="A232" s="37"/>
      <c r="C232" s="367"/>
      <c r="D232" s="367"/>
      <c r="E232" s="367"/>
      <c r="F232" s="367"/>
      <c r="G232" s="367"/>
      <c r="H232" s="367"/>
      <c r="I232" s="367"/>
      <c r="J232" s="365"/>
      <c r="K232" s="365"/>
      <c r="L232" s="365"/>
      <c r="M232" s="365"/>
      <c r="N232" s="365"/>
      <c r="O232" s="244"/>
      <c r="P232" s="365"/>
      <c r="Q232" s="365"/>
      <c r="R232" s="393"/>
      <c r="S232" s="393"/>
      <c r="T232" s="393"/>
      <c r="U232" s="393"/>
      <c r="V232" s="393"/>
      <c r="W232" s="393"/>
      <c r="X232" s="393"/>
      <c r="Y232" s="393"/>
      <c r="Z232" s="393"/>
      <c r="AA232" s="393"/>
      <c r="AB232" s="393"/>
      <c r="AC232" s="393"/>
      <c r="AD232" s="393"/>
      <c r="AE232" s="393"/>
      <c r="AF232" s="393"/>
      <c r="AG232" s="393"/>
      <c r="AH232" s="393"/>
      <c r="AI232" s="393"/>
      <c r="AJ232" s="393"/>
      <c r="AK232" s="393"/>
      <c r="AL232" s="393"/>
      <c r="AM232" s="393"/>
    </row>
    <row r="233" spans="1:39" s="21" customFormat="1">
      <c r="A233" s="37"/>
      <c r="C233" s="367"/>
      <c r="D233" s="367"/>
      <c r="E233" s="367"/>
      <c r="F233" s="367"/>
      <c r="G233" s="367"/>
      <c r="H233" s="367"/>
      <c r="I233" s="367"/>
      <c r="J233" s="365"/>
      <c r="K233" s="365"/>
      <c r="L233" s="365"/>
      <c r="M233" s="365"/>
      <c r="N233" s="365"/>
      <c r="O233" s="244"/>
      <c r="P233" s="365"/>
      <c r="Q233" s="365"/>
      <c r="R233" s="393"/>
      <c r="S233" s="393"/>
      <c r="T233" s="393"/>
      <c r="U233" s="393"/>
      <c r="V233" s="393"/>
      <c r="W233" s="393"/>
      <c r="X233" s="393"/>
      <c r="Y233" s="393"/>
      <c r="Z233" s="393"/>
      <c r="AA233" s="393"/>
      <c r="AB233" s="393"/>
      <c r="AC233" s="393"/>
      <c r="AD233" s="393"/>
      <c r="AE233" s="393"/>
      <c r="AF233" s="393"/>
      <c r="AG233" s="393"/>
      <c r="AH233" s="393"/>
      <c r="AI233" s="393"/>
      <c r="AJ233" s="393"/>
      <c r="AK233" s="393"/>
      <c r="AL233" s="393"/>
      <c r="AM233" s="393"/>
    </row>
    <row r="234" spans="1:39" s="21" customFormat="1">
      <c r="A234" s="37"/>
      <c r="C234" s="367"/>
      <c r="D234" s="367"/>
      <c r="E234" s="367"/>
      <c r="F234" s="367"/>
      <c r="G234" s="367"/>
      <c r="H234" s="367"/>
      <c r="I234" s="367"/>
      <c r="J234" s="365"/>
      <c r="K234" s="365"/>
      <c r="L234" s="365"/>
      <c r="M234" s="365"/>
      <c r="N234" s="365"/>
      <c r="O234" s="244"/>
      <c r="P234" s="365"/>
      <c r="Q234" s="365"/>
      <c r="R234" s="393"/>
      <c r="S234" s="393"/>
      <c r="T234" s="393"/>
      <c r="U234" s="393"/>
      <c r="V234" s="393"/>
      <c r="W234" s="393"/>
      <c r="X234" s="393"/>
      <c r="Y234" s="393"/>
      <c r="Z234" s="393"/>
      <c r="AA234" s="393"/>
      <c r="AB234" s="393"/>
      <c r="AC234" s="393"/>
      <c r="AD234" s="393"/>
      <c r="AE234" s="393"/>
      <c r="AF234" s="393"/>
      <c r="AG234" s="393"/>
      <c r="AH234" s="393"/>
      <c r="AI234" s="393"/>
      <c r="AJ234" s="393"/>
      <c r="AK234" s="393"/>
      <c r="AL234" s="393"/>
      <c r="AM234" s="393"/>
    </row>
    <row r="235" spans="1:39" s="21" customFormat="1">
      <c r="A235" s="37"/>
      <c r="C235" s="367"/>
      <c r="D235" s="367"/>
      <c r="E235" s="367"/>
      <c r="F235" s="367"/>
      <c r="G235" s="367"/>
      <c r="H235" s="367"/>
      <c r="I235" s="367"/>
      <c r="J235" s="365"/>
      <c r="K235" s="365"/>
      <c r="L235" s="365"/>
      <c r="M235" s="365"/>
      <c r="N235" s="365"/>
      <c r="O235" s="244"/>
      <c r="P235" s="365"/>
      <c r="Q235" s="365"/>
      <c r="R235" s="393"/>
      <c r="S235" s="393"/>
      <c r="T235" s="393"/>
      <c r="U235" s="393"/>
      <c r="V235" s="393"/>
      <c r="W235" s="393"/>
      <c r="X235" s="393"/>
      <c r="Y235" s="393"/>
      <c r="Z235" s="393"/>
      <c r="AA235" s="393"/>
      <c r="AB235" s="393"/>
      <c r="AC235" s="393"/>
      <c r="AD235" s="393"/>
      <c r="AE235" s="393"/>
      <c r="AF235" s="393"/>
      <c r="AG235" s="393"/>
      <c r="AH235" s="393"/>
      <c r="AI235" s="393"/>
      <c r="AJ235" s="393"/>
      <c r="AK235" s="393"/>
      <c r="AL235" s="393"/>
      <c r="AM235" s="393"/>
    </row>
    <row r="236" spans="1:39" s="21" customFormat="1">
      <c r="A236" s="37"/>
      <c r="C236" s="367"/>
      <c r="D236" s="367"/>
      <c r="E236" s="367"/>
      <c r="F236" s="367"/>
      <c r="G236" s="367"/>
      <c r="H236" s="367"/>
      <c r="I236" s="367"/>
      <c r="J236" s="365"/>
      <c r="K236" s="365"/>
      <c r="L236" s="365"/>
      <c r="M236" s="365"/>
      <c r="N236" s="365"/>
      <c r="O236" s="244"/>
      <c r="P236" s="365"/>
      <c r="Q236" s="365"/>
      <c r="R236" s="393"/>
      <c r="S236" s="393"/>
      <c r="T236" s="393"/>
      <c r="U236" s="393"/>
      <c r="V236" s="393"/>
      <c r="W236" s="393"/>
      <c r="X236" s="393"/>
      <c r="Y236" s="393"/>
      <c r="Z236" s="393"/>
      <c r="AA236" s="393"/>
      <c r="AB236" s="393"/>
      <c r="AC236" s="393"/>
      <c r="AD236" s="393"/>
      <c r="AE236" s="393"/>
      <c r="AF236" s="393"/>
      <c r="AG236" s="393"/>
      <c r="AH236" s="393"/>
      <c r="AI236" s="393"/>
      <c r="AJ236" s="393"/>
      <c r="AK236" s="393"/>
      <c r="AL236" s="393"/>
      <c r="AM236" s="393"/>
    </row>
    <row r="237" spans="1:39" s="21" customFormat="1">
      <c r="A237" s="37"/>
      <c r="C237" s="367"/>
      <c r="D237" s="367"/>
      <c r="E237" s="367"/>
      <c r="F237" s="367"/>
      <c r="G237" s="367"/>
      <c r="H237" s="367"/>
      <c r="I237" s="367"/>
      <c r="J237" s="365"/>
      <c r="K237" s="365"/>
      <c r="L237" s="365"/>
      <c r="M237" s="365"/>
      <c r="N237" s="365"/>
      <c r="O237" s="244"/>
      <c r="P237" s="365"/>
      <c r="Q237" s="365"/>
      <c r="R237" s="393"/>
      <c r="S237" s="393"/>
      <c r="T237" s="393"/>
      <c r="U237" s="393"/>
      <c r="V237" s="393"/>
      <c r="W237" s="393"/>
      <c r="X237" s="393"/>
      <c r="Y237" s="393"/>
      <c r="Z237" s="393"/>
      <c r="AA237" s="393"/>
      <c r="AB237" s="393"/>
      <c r="AC237" s="393"/>
      <c r="AD237" s="393"/>
      <c r="AE237" s="393"/>
      <c r="AF237" s="393"/>
      <c r="AG237" s="393"/>
      <c r="AH237" s="393"/>
      <c r="AI237" s="393"/>
      <c r="AJ237" s="393"/>
      <c r="AK237" s="393"/>
      <c r="AL237" s="393"/>
      <c r="AM237" s="393"/>
    </row>
    <row r="238" spans="1:39" s="21" customFormat="1">
      <c r="A238" s="37"/>
      <c r="C238" s="367"/>
      <c r="D238" s="367"/>
      <c r="E238" s="367"/>
      <c r="F238" s="367"/>
      <c r="G238" s="367"/>
      <c r="H238" s="367"/>
      <c r="I238" s="367"/>
      <c r="J238" s="365"/>
      <c r="K238" s="365"/>
      <c r="L238" s="365"/>
      <c r="M238" s="365"/>
      <c r="N238" s="365"/>
      <c r="O238" s="244"/>
      <c r="P238" s="365"/>
      <c r="Q238" s="365"/>
      <c r="R238" s="393"/>
      <c r="S238" s="393"/>
      <c r="T238" s="393"/>
      <c r="U238" s="393"/>
      <c r="V238" s="393"/>
      <c r="W238" s="393"/>
      <c r="X238" s="393"/>
      <c r="Y238" s="393"/>
      <c r="Z238" s="393"/>
      <c r="AA238" s="393"/>
      <c r="AB238" s="393"/>
      <c r="AC238" s="393"/>
      <c r="AD238" s="393"/>
      <c r="AE238" s="393"/>
      <c r="AF238" s="393"/>
      <c r="AG238" s="393"/>
      <c r="AH238" s="393"/>
      <c r="AI238" s="393"/>
      <c r="AJ238" s="393"/>
      <c r="AK238" s="393"/>
      <c r="AL238" s="393"/>
      <c r="AM238" s="393"/>
    </row>
    <row r="239" spans="1:39" s="21" customFormat="1">
      <c r="A239" s="37"/>
      <c r="C239" s="367"/>
      <c r="D239" s="367"/>
      <c r="E239" s="367"/>
      <c r="F239" s="367"/>
      <c r="G239" s="367"/>
      <c r="H239" s="367"/>
      <c r="I239" s="367"/>
      <c r="J239" s="365"/>
      <c r="K239" s="365"/>
      <c r="L239" s="365"/>
      <c r="M239" s="365"/>
      <c r="N239" s="365"/>
      <c r="O239" s="244"/>
      <c r="P239" s="365"/>
      <c r="Q239" s="365"/>
      <c r="R239" s="393"/>
      <c r="S239" s="393"/>
      <c r="T239" s="393"/>
      <c r="U239" s="393"/>
      <c r="V239" s="393"/>
      <c r="W239" s="393"/>
      <c r="X239" s="393"/>
      <c r="Y239" s="393"/>
      <c r="Z239" s="393"/>
      <c r="AA239" s="393"/>
      <c r="AB239" s="393"/>
      <c r="AC239" s="393"/>
      <c r="AD239" s="393"/>
      <c r="AE239" s="393"/>
      <c r="AF239" s="393"/>
      <c r="AG239" s="393"/>
      <c r="AH239" s="393"/>
      <c r="AI239" s="393"/>
      <c r="AJ239" s="393"/>
      <c r="AK239" s="393"/>
      <c r="AL239" s="393"/>
      <c r="AM239" s="393"/>
    </row>
    <row r="240" spans="1:39" s="21" customFormat="1">
      <c r="A240" s="37"/>
      <c r="C240" s="367"/>
      <c r="D240" s="367"/>
      <c r="E240" s="367"/>
      <c r="F240" s="367"/>
      <c r="G240" s="367"/>
      <c r="H240" s="367"/>
      <c r="I240" s="367"/>
      <c r="J240" s="365"/>
      <c r="K240" s="365"/>
      <c r="L240" s="365"/>
      <c r="M240" s="365"/>
      <c r="N240" s="365"/>
      <c r="O240" s="244"/>
      <c r="P240" s="365"/>
      <c r="Q240" s="365"/>
      <c r="R240" s="393"/>
      <c r="S240" s="393"/>
      <c r="T240" s="393"/>
      <c r="U240" s="393"/>
      <c r="V240" s="393"/>
      <c r="W240" s="393"/>
      <c r="X240" s="393"/>
      <c r="Y240" s="393"/>
      <c r="Z240" s="393"/>
      <c r="AA240" s="393"/>
      <c r="AB240" s="393"/>
      <c r="AC240" s="393"/>
      <c r="AD240" s="393"/>
      <c r="AE240" s="393"/>
      <c r="AF240" s="393"/>
      <c r="AG240" s="393"/>
      <c r="AH240" s="393"/>
      <c r="AI240" s="393"/>
      <c r="AJ240" s="393"/>
      <c r="AK240" s="393"/>
      <c r="AL240" s="393"/>
      <c r="AM240" s="393"/>
    </row>
    <row r="241" spans="1:39" s="21" customFormat="1">
      <c r="A241" s="37"/>
      <c r="C241" s="367"/>
      <c r="D241" s="367"/>
      <c r="E241" s="367"/>
      <c r="F241" s="367"/>
      <c r="G241" s="367"/>
      <c r="H241" s="367"/>
      <c r="I241" s="367"/>
      <c r="J241" s="365"/>
      <c r="K241" s="365"/>
      <c r="L241" s="365"/>
      <c r="M241" s="365"/>
      <c r="N241" s="365"/>
      <c r="O241" s="244"/>
      <c r="P241" s="365"/>
      <c r="Q241" s="365"/>
      <c r="R241" s="393"/>
      <c r="S241" s="393"/>
      <c r="T241" s="393"/>
      <c r="U241" s="393"/>
      <c r="V241" s="393"/>
      <c r="W241" s="393"/>
      <c r="X241" s="393"/>
      <c r="Y241" s="393"/>
      <c r="Z241" s="393"/>
      <c r="AA241" s="393"/>
      <c r="AB241" s="393"/>
      <c r="AC241" s="393"/>
      <c r="AD241" s="393"/>
      <c r="AE241" s="393"/>
      <c r="AF241" s="393"/>
      <c r="AG241" s="393"/>
      <c r="AH241" s="393"/>
      <c r="AI241" s="393"/>
      <c r="AJ241" s="393"/>
      <c r="AK241" s="393"/>
      <c r="AL241" s="393"/>
      <c r="AM241" s="393"/>
    </row>
    <row r="242" spans="1:39" s="21" customFormat="1">
      <c r="A242" s="37"/>
      <c r="C242" s="367"/>
      <c r="D242" s="367"/>
      <c r="E242" s="367"/>
      <c r="F242" s="367"/>
      <c r="G242" s="367"/>
      <c r="H242" s="367"/>
      <c r="I242" s="367"/>
      <c r="J242" s="365"/>
      <c r="K242" s="365"/>
      <c r="L242" s="365"/>
      <c r="M242" s="365"/>
      <c r="N242" s="365"/>
      <c r="O242" s="244"/>
      <c r="P242" s="365"/>
      <c r="Q242" s="365"/>
      <c r="R242" s="393"/>
      <c r="S242" s="393"/>
      <c r="T242" s="393"/>
      <c r="U242" s="393"/>
      <c r="V242" s="393"/>
      <c r="W242" s="393"/>
      <c r="X242" s="393"/>
      <c r="Y242" s="393"/>
      <c r="Z242" s="393"/>
      <c r="AA242" s="393"/>
      <c r="AB242" s="393"/>
      <c r="AC242" s="393"/>
      <c r="AD242" s="393"/>
      <c r="AE242" s="393"/>
      <c r="AF242" s="393"/>
      <c r="AG242" s="393"/>
      <c r="AH242" s="393"/>
      <c r="AI242" s="393"/>
      <c r="AJ242" s="393"/>
      <c r="AK242" s="393"/>
      <c r="AL242" s="393"/>
      <c r="AM242" s="393"/>
    </row>
    <row r="243" spans="1:39" s="21" customFormat="1">
      <c r="A243" s="37"/>
      <c r="C243" s="367"/>
      <c r="D243" s="367"/>
      <c r="E243" s="367"/>
      <c r="F243" s="367"/>
      <c r="G243" s="367"/>
      <c r="H243" s="367"/>
      <c r="I243" s="367"/>
      <c r="J243" s="365"/>
      <c r="K243" s="365"/>
      <c r="L243" s="365"/>
      <c r="M243" s="365"/>
      <c r="N243" s="365"/>
      <c r="O243" s="244"/>
      <c r="P243" s="365"/>
      <c r="Q243" s="365"/>
      <c r="R243" s="393"/>
      <c r="S243" s="393"/>
      <c r="T243" s="393"/>
      <c r="U243" s="393"/>
      <c r="V243" s="393"/>
      <c r="W243" s="393"/>
      <c r="X243" s="393"/>
      <c r="Y243" s="393"/>
      <c r="Z243" s="393"/>
      <c r="AA243" s="393"/>
      <c r="AB243" s="393"/>
      <c r="AC243" s="393"/>
      <c r="AD243" s="393"/>
      <c r="AE243" s="393"/>
      <c r="AF243" s="393"/>
      <c r="AG243" s="393"/>
      <c r="AH243" s="393"/>
      <c r="AI243" s="393"/>
      <c r="AJ243" s="393"/>
      <c r="AK243" s="393"/>
      <c r="AL243" s="393"/>
      <c r="AM243" s="393"/>
    </row>
    <row r="244" spans="1:39" s="21" customFormat="1">
      <c r="A244" s="37"/>
      <c r="C244" s="367"/>
      <c r="D244" s="367"/>
      <c r="E244" s="367"/>
      <c r="F244" s="367"/>
      <c r="G244" s="367"/>
      <c r="H244" s="367"/>
      <c r="I244" s="367"/>
      <c r="J244" s="365"/>
      <c r="K244" s="365"/>
      <c r="L244" s="365"/>
      <c r="M244" s="365"/>
      <c r="N244" s="365"/>
      <c r="O244" s="244"/>
      <c r="P244" s="365"/>
      <c r="Q244" s="365"/>
      <c r="R244" s="393"/>
      <c r="S244" s="393"/>
      <c r="T244" s="393"/>
      <c r="U244" s="393"/>
      <c r="V244" s="393"/>
      <c r="W244" s="393"/>
      <c r="X244" s="393"/>
      <c r="Y244" s="393"/>
      <c r="Z244" s="393"/>
      <c r="AA244" s="393"/>
      <c r="AB244" s="393"/>
      <c r="AC244" s="393"/>
      <c r="AD244" s="393"/>
      <c r="AE244" s="393"/>
      <c r="AF244" s="393"/>
      <c r="AG244" s="393"/>
      <c r="AH244" s="393"/>
      <c r="AI244" s="393"/>
      <c r="AJ244" s="393"/>
      <c r="AK244" s="393"/>
      <c r="AL244" s="393"/>
      <c r="AM244" s="393"/>
    </row>
    <row r="245" spans="1:39" s="21" customFormat="1">
      <c r="A245" s="37"/>
      <c r="C245" s="367"/>
      <c r="D245" s="367"/>
      <c r="E245" s="367"/>
      <c r="F245" s="367"/>
      <c r="G245" s="367"/>
      <c r="H245" s="367"/>
      <c r="I245" s="367"/>
      <c r="J245" s="365"/>
      <c r="K245" s="365"/>
      <c r="L245" s="365"/>
      <c r="M245" s="365"/>
      <c r="N245" s="365"/>
      <c r="O245" s="244"/>
      <c r="P245" s="365"/>
      <c r="Q245" s="365"/>
      <c r="R245" s="393"/>
      <c r="S245" s="393"/>
      <c r="T245" s="393"/>
      <c r="U245" s="393"/>
      <c r="V245" s="393"/>
      <c r="W245" s="393"/>
      <c r="X245" s="393"/>
      <c r="Y245" s="393"/>
      <c r="Z245" s="393"/>
      <c r="AA245" s="393"/>
      <c r="AB245" s="393"/>
      <c r="AC245" s="393"/>
      <c r="AD245" s="393"/>
      <c r="AE245" s="393"/>
      <c r="AF245" s="393"/>
      <c r="AG245" s="393"/>
      <c r="AH245" s="393"/>
      <c r="AI245" s="393"/>
      <c r="AJ245" s="393"/>
      <c r="AK245" s="393"/>
      <c r="AL245" s="393"/>
      <c r="AM245" s="393"/>
    </row>
    <row r="246" spans="1:39" s="21" customFormat="1">
      <c r="A246" s="37"/>
      <c r="C246" s="367"/>
      <c r="D246" s="367"/>
      <c r="E246" s="367"/>
      <c r="F246" s="367"/>
      <c r="G246" s="367"/>
      <c r="H246" s="367"/>
      <c r="I246" s="367"/>
      <c r="J246" s="365"/>
      <c r="K246" s="365"/>
      <c r="L246" s="365"/>
      <c r="M246" s="365"/>
      <c r="N246" s="365"/>
      <c r="O246" s="244"/>
      <c r="P246" s="365"/>
      <c r="Q246" s="365"/>
      <c r="R246" s="393"/>
      <c r="S246" s="393"/>
      <c r="T246" s="393"/>
      <c r="U246" s="393"/>
      <c r="V246" s="393"/>
      <c r="W246" s="393"/>
      <c r="X246" s="393"/>
      <c r="Y246" s="393"/>
      <c r="Z246" s="393"/>
      <c r="AA246" s="393"/>
      <c r="AB246" s="393"/>
      <c r="AC246" s="393"/>
      <c r="AD246" s="393"/>
      <c r="AE246" s="393"/>
      <c r="AF246" s="393"/>
      <c r="AG246" s="393"/>
      <c r="AH246" s="393"/>
      <c r="AI246" s="393"/>
      <c r="AJ246" s="393"/>
      <c r="AK246" s="393"/>
      <c r="AL246" s="393"/>
      <c r="AM246" s="393"/>
    </row>
    <row r="247" spans="1:39" s="21" customFormat="1">
      <c r="A247" s="37"/>
      <c r="C247" s="367"/>
      <c r="D247" s="367"/>
      <c r="E247" s="367"/>
      <c r="F247" s="367"/>
      <c r="G247" s="367"/>
      <c r="H247" s="367"/>
      <c r="I247" s="367"/>
      <c r="J247" s="365"/>
      <c r="K247" s="365"/>
      <c r="L247" s="365"/>
      <c r="M247" s="365"/>
      <c r="N247" s="365"/>
      <c r="O247" s="244"/>
      <c r="P247" s="365"/>
      <c r="Q247" s="365"/>
      <c r="R247" s="393"/>
      <c r="S247" s="393"/>
      <c r="T247" s="393"/>
      <c r="U247" s="393"/>
      <c r="V247" s="393"/>
      <c r="W247" s="393"/>
      <c r="X247" s="393"/>
      <c r="Y247" s="393"/>
      <c r="Z247" s="393"/>
      <c r="AA247" s="393"/>
      <c r="AB247" s="393"/>
      <c r="AC247" s="393"/>
      <c r="AD247" s="393"/>
      <c r="AE247" s="393"/>
      <c r="AF247" s="393"/>
      <c r="AG247" s="393"/>
      <c r="AH247" s="393"/>
      <c r="AI247" s="393"/>
      <c r="AJ247" s="393"/>
      <c r="AK247" s="393"/>
      <c r="AL247" s="393"/>
      <c r="AM247" s="393"/>
    </row>
    <row r="248" spans="1:39" s="21" customFormat="1">
      <c r="A248" s="37"/>
      <c r="C248" s="367"/>
      <c r="D248" s="367"/>
      <c r="E248" s="367"/>
      <c r="F248" s="367"/>
      <c r="G248" s="367"/>
      <c r="H248" s="367"/>
      <c r="I248" s="367"/>
      <c r="J248" s="365"/>
      <c r="K248" s="365"/>
      <c r="L248" s="365"/>
      <c r="M248" s="365"/>
      <c r="N248" s="365"/>
      <c r="O248" s="244"/>
      <c r="P248" s="365"/>
      <c r="Q248" s="365"/>
      <c r="R248" s="393"/>
      <c r="S248" s="393"/>
      <c r="T248" s="393"/>
      <c r="U248" s="393"/>
      <c r="V248" s="393"/>
      <c r="W248" s="393"/>
      <c r="X248" s="393"/>
      <c r="Y248" s="393"/>
      <c r="Z248" s="393"/>
      <c r="AA248" s="393"/>
      <c r="AB248" s="393"/>
      <c r="AC248" s="393"/>
      <c r="AD248" s="393"/>
      <c r="AE248" s="393"/>
      <c r="AF248" s="393"/>
      <c r="AG248" s="393"/>
      <c r="AH248" s="393"/>
      <c r="AI248" s="393"/>
      <c r="AJ248" s="393"/>
      <c r="AK248" s="393"/>
      <c r="AL248" s="393"/>
      <c r="AM248" s="393"/>
    </row>
    <row r="249" spans="1:39" s="21" customFormat="1">
      <c r="A249" s="37"/>
      <c r="C249" s="367"/>
      <c r="D249" s="367"/>
      <c r="E249" s="367"/>
      <c r="F249" s="367"/>
      <c r="G249" s="367"/>
      <c r="H249" s="367"/>
      <c r="I249" s="367"/>
      <c r="J249" s="365"/>
      <c r="K249" s="365"/>
      <c r="L249" s="365"/>
      <c r="M249" s="365"/>
      <c r="N249" s="365"/>
      <c r="O249" s="244"/>
      <c r="P249" s="365"/>
      <c r="Q249" s="365"/>
      <c r="R249" s="393"/>
      <c r="S249" s="393"/>
      <c r="T249" s="393"/>
      <c r="U249" s="393"/>
      <c r="V249" s="393"/>
      <c r="W249" s="393"/>
      <c r="X249" s="393"/>
      <c r="Y249" s="393"/>
      <c r="Z249" s="393"/>
      <c r="AA249" s="393"/>
      <c r="AB249" s="393"/>
      <c r="AC249" s="393"/>
      <c r="AD249" s="393"/>
      <c r="AE249" s="393"/>
      <c r="AF249" s="393"/>
      <c r="AG249" s="393"/>
      <c r="AH249" s="393"/>
      <c r="AI249" s="393"/>
      <c r="AJ249" s="393"/>
      <c r="AK249" s="393"/>
      <c r="AL249" s="393"/>
      <c r="AM249" s="393"/>
    </row>
    <row r="250" spans="1:39" s="21" customFormat="1">
      <c r="A250" s="37"/>
      <c r="C250" s="367"/>
      <c r="D250" s="367"/>
      <c r="E250" s="367"/>
      <c r="F250" s="367"/>
      <c r="G250" s="367"/>
      <c r="H250" s="367"/>
      <c r="I250" s="367"/>
      <c r="J250" s="365"/>
      <c r="K250" s="365"/>
      <c r="L250" s="365"/>
      <c r="M250" s="365"/>
      <c r="N250" s="365"/>
      <c r="O250" s="244"/>
      <c r="P250" s="365"/>
      <c r="Q250" s="365"/>
      <c r="R250" s="393"/>
      <c r="S250" s="393"/>
      <c r="T250" s="393"/>
      <c r="U250" s="393"/>
      <c r="V250" s="393"/>
      <c r="W250" s="393"/>
      <c r="X250" s="393"/>
      <c r="Y250" s="393"/>
      <c r="Z250" s="393"/>
      <c r="AA250" s="393"/>
      <c r="AB250" s="393"/>
      <c r="AC250" s="393"/>
      <c r="AD250" s="393"/>
      <c r="AE250" s="393"/>
      <c r="AF250" s="393"/>
      <c r="AG250" s="393"/>
      <c r="AH250" s="393"/>
      <c r="AI250" s="393"/>
      <c r="AJ250" s="393"/>
      <c r="AK250" s="393"/>
      <c r="AL250" s="393"/>
      <c r="AM250" s="393"/>
    </row>
    <row r="251" spans="1:39" s="21" customFormat="1">
      <c r="A251" s="37"/>
      <c r="C251" s="367"/>
      <c r="D251" s="367"/>
      <c r="E251" s="367"/>
      <c r="F251" s="367"/>
      <c r="G251" s="367"/>
      <c r="H251" s="367"/>
      <c r="I251" s="367"/>
      <c r="J251" s="365"/>
      <c r="K251" s="365"/>
      <c r="L251" s="365"/>
      <c r="M251" s="365"/>
      <c r="N251" s="365"/>
      <c r="O251" s="244"/>
      <c r="P251" s="365"/>
      <c r="Q251" s="365"/>
      <c r="R251" s="393"/>
      <c r="S251" s="393"/>
      <c r="T251" s="393"/>
      <c r="U251" s="393"/>
      <c r="V251" s="393"/>
      <c r="W251" s="393"/>
      <c r="X251" s="393"/>
      <c r="Y251" s="393"/>
      <c r="Z251" s="393"/>
      <c r="AA251" s="393"/>
      <c r="AB251" s="393"/>
      <c r="AC251" s="393"/>
      <c r="AD251" s="393"/>
      <c r="AE251" s="393"/>
      <c r="AF251" s="393"/>
      <c r="AG251" s="393"/>
      <c r="AH251" s="393"/>
      <c r="AI251" s="393"/>
      <c r="AJ251" s="393"/>
      <c r="AK251" s="393"/>
      <c r="AL251" s="393"/>
      <c r="AM251" s="393"/>
    </row>
    <row r="252" spans="1:39" s="21" customFormat="1">
      <c r="A252" s="37"/>
      <c r="C252" s="367"/>
      <c r="D252" s="367"/>
      <c r="E252" s="367"/>
      <c r="F252" s="367"/>
      <c r="G252" s="367"/>
      <c r="H252" s="367"/>
      <c r="I252" s="367"/>
      <c r="J252" s="365"/>
      <c r="K252" s="365"/>
      <c r="L252" s="365"/>
      <c r="M252" s="365"/>
      <c r="N252" s="365"/>
      <c r="O252" s="244"/>
      <c r="P252" s="365"/>
      <c r="Q252" s="365"/>
      <c r="R252" s="393"/>
      <c r="S252" s="393"/>
      <c r="T252" s="393"/>
      <c r="U252" s="393"/>
      <c r="V252" s="393"/>
      <c r="W252" s="393"/>
      <c r="X252" s="393"/>
      <c r="Y252" s="393"/>
      <c r="Z252" s="393"/>
      <c r="AA252" s="393"/>
      <c r="AB252" s="393"/>
      <c r="AC252" s="393"/>
      <c r="AD252" s="393"/>
      <c r="AE252" s="393"/>
      <c r="AF252" s="393"/>
      <c r="AG252" s="393"/>
      <c r="AH252" s="393"/>
      <c r="AI252" s="393"/>
      <c r="AJ252" s="393"/>
      <c r="AK252" s="393"/>
      <c r="AL252" s="393"/>
      <c r="AM252" s="393"/>
    </row>
    <row r="253" spans="1:39" s="21" customFormat="1">
      <c r="A253" s="37"/>
      <c r="C253" s="367"/>
      <c r="D253" s="367"/>
      <c r="E253" s="367"/>
      <c r="F253" s="367"/>
      <c r="G253" s="367"/>
      <c r="H253" s="367"/>
      <c r="I253" s="367"/>
      <c r="J253" s="365"/>
      <c r="K253" s="365"/>
      <c r="L253" s="365"/>
      <c r="M253" s="365"/>
      <c r="N253" s="365"/>
      <c r="O253" s="244"/>
      <c r="P253" s="365"/>
      <c r="Q253" s="365"/>
      <c r="R253" s="393"/>
      <c r="S253" s="393"/>
      <c r="T253" s="393"/>
      <c r="U253" s="393"/>
      <c r="V253" s="393"/>
      <c r="W253" s="393"/>
      <c r="X253" s="393"/>
      <c r="Y253" s="393"/>
      <c r="Z253" s="393"/>
      <c r="AA253" s="393"/>
      <c r="AB253" s="393"/>
      <c r="AC253" s="393"/>
      <c r="AD253" s="393"/>
      <c r="AE253" s="393"/>
      <c r="AF253" s="393"/>
      <c r="AG253" s="393"/>
      <c r="AH253" s="393"/>
      <c r="AI253" s="393"/>
      <c r="AJ253" s="393"/>
      <c r="AK253" s="393"/>
      <c r="AL253" s="393"/>
      <c r="AM253" s="393"/>
    </row>
    <row r="254" spans="1:39" s="21" customFormat="1">
      <c r="A254" s="37"/>
      <c r="C254" s="367"/>
      <c r="D254" s="367"/>
      <c r="E254" s="367"/>
      <c r="F254" s="367"/>
      <c r="G254" s="367"/>
      <c r="H254" s="367"/>
      <c r="I254" s="367"/>
      <c r="J254" s="365"/>
      <c r="K254" s="365"/>
      <c r="L254" s="365"/>
      <c r="M254" s="365"/>
      <c r="N254" s="365"/>
      <c r="O254" s="244"/>
      <c r="P254" s="365"/>
      <c r="Q254" s="365"/>
      <c r="R254" s="393"/>
      <c r="S254" s="393"/>
      <c r="T254" s="393"/>
      <c r="U254" s="393"/>
      <c r="V254" s="393"/>
      <c r="W254" s="393"/>
      <c r="X254" s="393"/>
      <c r="Y254" s="393"/>
      <c r="Z254" s="393"/>
      <c r="AA254" s="393"/>
      <c r="AB254" s="393"/>
      <c r="AC254" s="393"/>
      <c r="AD254" s="393"/>
      <c r="AE254" s="393"/>
      <c r="AF254" s="393"/>
      <c r="AG254" s="393"/>
      <c r="AH254" s="393"/>
      <c r="AI254" s="393"/>
      <c r="AJ254" s="393"/>
      <c r="AK254" s="393"/>
      <c r="AL254" s="393"/>
      <c r="AM254" s="393"/>
    </row>
    <row r="255" spans="1:39" s="21" customFormat="1">
      <c r="A255" s="37"/>
      <c r="C255" s="367"/>
      <c r="D255" s="367"/>
      <c r="E255" s="367"/>
      <c r="F255" s="367"/>
      <c r="G255" s="367"/>
      <c r="H255" s="367"/>
      <c r="I255" s="367"/>
      <c r="J255" s="365"/>
      <c r="K255" s="365"/>
      <c r="L255" s="365"/>
      <c r="M255" s="365"/>
      <c r="N255" s="365"/>
      <c r="O255" s="244"/>
      <c r="P255" s="365"/>
      <c r="Q255" s="365"/>
      <c r="R255" s="393"/>
      <c r="S255" s="393"/>
      <c r="T255" s="393"/>
      <c r="U255" s="393"/>
      <c r="V255" s="393"/>
      <c r="W255" s="393"/>
      <c r="X255" s="393"/>
      <c r="Y255" s="393"/>
      <c r="Z255" s="393"/>
      <c r="AA255" s="393"/>
      <c r="AB255" s="393"/>
      <c r="AC255" s="393"/>
      <c r="AD255" s="393"/>
      <c r="AE255" s="393"/>
      <c r="AF255" s="393"/>
      <c r="AG255" s="393"/>
      <c r="AH255" s="393"/>
      <c r="AI255" s="393"/>
      <c r="AJ255" s="393"/>
      <c r="AK255" s="393"/>
      <c r="AL255" s="393"/>
      <c r="AM255" s="393"/>
    </row>
    <row r="256" spans="1:39" s="21" customFormat="1">
      <c r="A256" s="37"/>
      <c r="C256" s="367"/>
      <c r="D256" s="367"/>
      <c r="E256" s="367"/>
      <c r="F256" s="367"/>
      <c r="G256" s="367"/>
      <c r="H256" s="367"/>
      <c r="I256" s="367"/>
      <c r="J256" s="365"/>
      <c r="K256" s="365"/>
      <c r="L256" s="365"/>
      <c r="M256" s="365"/>
      <c r="N256" s="365"/>
      <c r="O256" s="244"/>
      <c r="P256" s="365"/>
      <c r="Q256" s="365"/>
      <c r="R256" s="393"/>
      <c r="S256" s="393"/>
      <c r="T256" s="393"/>
      <c r="U256" s="393"/>
      <c r="V256" s="393"/>
      <c r="W256" s="393"/>
      <c r="X256" s="393"/>
      <c r="Y256" s="393"/>
      <c r="Z256" s="393"/>
      <c r="AA256" s="393"/>
      <c r="AB256" s="393"/>
      <c r="AC256" s="393"/>
      <c r="AD256" s="393"/>
      <c r="AE256" s="393"/>
      <c r="AF256" s="393"/>
      <c r="AG256" s="393"/>
      <c r="AH256" s="393"/>
      <c r="AI256" s="393"/>
      <c r="AJ256" s="393"/>
      <c r="AK256" s="393"/>
      <c r="AL256" s="393"/>
      <c r="AM256" s="393"/>
    </row>
    <row r="257" spans="1:39" s="21" customFormat="1">
      <c r="A257" s="37"/>
      <c r="C257" s="367"/>
      <c r="D257" s="367"/>
      <c r="E257" s="367"/>
      <c r="F257" s="367"/>
      <c r="G257" s="367"/>
      <c r="H257" s="367"/>
      <c r="I257" s="367"/>
      <c r="J257" s="365"/>
      <c r="K257" s="365"/>
      <c r="L257" s="365"/>
      <c r="M257" s="365"/>
      <c r="N257" s="365"/>
      <c r="O257" s="244"/>
      <c r="P257" s="365"/>
      <c r="Q257" s="365"/>
      <c r="R257" s="393"/>
      <c r="S257" s="393"/>
      <c r="T257" s="393"/>
      <c r="U257" s="393"/>
      <c r="V257" s="393"/>
      <c r="W257" s="393"/>
      <c r="X257" s="393"/>
      <c r="Y257" s="393"/>
      <c r="Z257" s="393"/>
      <c r="AA257" s="393"/>
      <c r="AB257" s="393"/>
      <c r="AC257" s="393"/>
      <c r="AD257" s="393"/>
      <c r="AE257" s="393"/>
      <c r="AF257" s="393"/>
      <c r="AG257" s="393"/>
      <c r="AH257" s="393"/>
      <c r="AI257" s="393"/>
      <c r="AJ257" s="393"/>
      <c r="AK257" s="393"/>
      <c r="AL257" s="393"/>
      <c r="AM257" s="393"/>
    </row>
    <row r="258" spans="1:39" s="21" customFormat="1">
      <c r="A258" s="37"/>
      <c r="C258" s="367"/>
      <c r="D258" s="367"/>
      <c r="E258" s="367"/>
      <c r="F258" s="367"/>
      <c r="G258" s="367"/>
      <c r="H258" s="367"/>
      <c r="I258" s="367"/>
      <c r="J258" s="365"/>
      <c r="K258" s="365"/>
      <c r="L258" s="365"/>
      <c r="M258" s="365"/>
      <c r="N258" s="365"/>
      <c r="O258" s="244"/>
      <c r="P258" s="365"/>
      <c r="Q258" s="365"/>
      <c r="R258" s="393"/>
      <c r="S258" s="393"/>
      <c r="T258" s="393"/>
      <c r="U258" s="393"/>
      <c r="V258" s="393"/>
      <c r="W258" s="393"/>
      <c r="X258" s="393"/>
      <c r="Y258" s="393"/>
      <c r="Z258" s="393"/>
      <c r="AA258" s="393"/>
      <c r="AB258" s="393"/>
      <c r="AC258" s="393"/>
      <c r="AD258" s="393"/>
      <c r="AE258" s="393"/>
      <c r="AF258" s="393"/>
      <c r="AG258" s="393"/>
      <c r="AH258" s="393"/>
      <c r="AI258" s="393"/>
      <c r="AJ258" s="393"/>
      <c r="AK258" s="393"/>
      <c r="AL258" s="393"/>
      <c r="AM258" s="393"/>
    </row>
    <row r="259" spans="1:39" s="21" customFormat="1">
      <c r="A259" s="37"/>
      <c r="C259" s="367"/>
      <c r="D259" s="367"/>
      <c r="E259" s="367"/>
      <c r="F259" s="367"/>
      <c r="G259" s="367"/>
      <c r="H259" s="367"/>
      <c r="I259" s="367"/>
      <c r="J259" s="365"/>
      <c r="K259" s="365"/>
      <c r="L259" s="365"/>
      <c r="M259" s="365"/>
      <c r="N259" s="365"/>
      <c r="O259" s="244"/>
      <c r="P259" s="365"/>
      <c r="Q259" s="365"/>
      <c r="R259" s="393"/>
      <c r="S259" s="393"/>
      <c r="T259" s="393"/>
      <c r="U259" s="393"/>
      <c r="V259" s="393"/>
      <c r="W259" s="393"/>
      <c r="X259" s="393"/>
      <c r="Y259" s="393"/>
      <c r="Z259" s="393"/>
      <c r="AA259" s="393"/>
      <c r="AB259" s="393"/>
      <c r="AC259" s="393"/>
      <c r="AD259" s="393"/>
      <c r="AE259" s="393"/>
      <c r="AF259" s="393"/>
      <c r="AG259" s="393"/>
      <c r="AH259" s="393"/>
      <c r="AI259" s="393"/>
      <c r="AJ259" s="393"/>
      <c r="AK259" s="393"/>
      <c r="AL259" s="393"/>
      <c r="AM259" s="393"/>
    </row>
    <row r="260" spans="1:39" s="21" customFormat="1">
      <c r="A260" s="37"/>
      <c r="C260" s="367"/>
      <c r="D260" s="367"/>
      <c r="E260" s="367"/>
      <c r="F260" s="367"/>
      <c r="G260" s="367"/>
      <c r="H260" s="367"/>
      <c r="I260" s="367"/>
      <c r="J260" s="365"/>
      <c r="K260" s="365"/>
      <c r="L260" s="365"/>
      <c r="M260" s="365"/>
      <c r="N260" s="365"/>
      <c r="O260" s="244"/>
      <c r="P260" s="365"/>
      <c r="Q260" s="365"/>
      <c r="R260" s="393"/>
      <c r="S260" s="393"/>
      <c r="T260" s="393"/>
      <c r="U260" s="393"/>
      <c r="V260" s="393"/>
      <c r="W260" s="393"/>
      <c r="X260" s="393"/>
      <c r="Y260" s="393"/>
      <c r="Z260" s="393"/>
      <c r="AA260" s="393"/>
      <c r="AB260" s="393"/>
      <c r="AC260" s="393"/>
      <c r="AD260" s="393"/>
      <c r="AE260" s="393"/>
      <c r="AF260" s="393"/>
      <c r="AG260" s="393"/>
      <c r="AH260" s="393"/>
      <c r="AI260" s="393"/>
      <c r="AJ260" s="393"/>
      <c r="AK260" s="393"/>
      <c r="AL260" s="393"/>
      <c r="AM260" s="393"/>
    </row>
    <row r="261" spans="1:39" s="21" customFormat="1">
      <c r="A261" s="37"/>
      <c r="C261" s="367"/>
      <c r="D261" s="367"/>
      <c r="E261" s="367"/>
      <c r="F261" s="367"/>
      <c r="G261" s="367"/>
      <c r="H261" s="367"/>
      <c r="I261" s="367"/>
      <c r="J261" s="365"/>
      <c r="K261" s="365"/>
      <c r="L261" s="365"/>
      <c r="M261" s="365"/>
      <c r="N261" s="365"/>
      <c r="O261" s="244"/>
      <c r="P261" s="365"/>
      <c r="Q261" s="365"/>
      <c r="R261" s="393"/>
      <c r="S261" s="393"/>
      <c r="T261" s="393"/>
      <c r="U261" s="393"/>
      <c r="V261" s="393"/>
      <c r="W261" s="393"/>
      <c r="X261" s="393"/>
      <c r="Y261" s="393"/>
      <c r="Z261" s="393"/>
      <c r="AA261" s="393"/>
      <c r="AB261" s="393"/>
      <c r="AC261" s="393"/>
      <c r="AD261" s="393"/>
      <c r="AE261" s="393"/>
      <c r="AF261" s="393"/>
      <c r="AG261" s="393"/>
      <c r="AH261" s="393"/>
      <c r="AI261" s="393"/>
      <c r="AJ261" s="393"/>
      <c r="AK261" s="393"/>
      <c r="AL261" s="393"/>
      <c r="AM261" s="393"/>
    </row>
    <row r="262" spans="1:39" s="21" customFormat="1">
      <c r="A262" s="37"/>
      <c r="C262" s="367"/>
      <c r="D262" s="367"/>
      <c r="E262" s="367"/>
      <c r="F262" s="367"/>
      <c r="G262" s="367"/>
      <c r="H262" s="367"/>
      <c r="I262" s="367"/>
      <c r="J262" s="365"/>
      <c r="K262" s="365"/>
      <c r="L262" s="365"/>
      <c r="M262" s="365"/>
      <c r="N262" s="365"/>
      <c r="O262" s="244"/>
      <c r="P262" s="365"/>
      <c r="Q262" s="365"/>
      <c r="R262" s="393"/>
      <c r="S262" s="393"/>
      <c r="T262" s="393"/>
      <c r="U262" s="393"/>
      <c r="V262" s="393"/>
      <c r="W262" s="393"/>
      <c r="X262" s="393"/>
      <c r="Y262" s="393"/>
      <c r="Z262" s="393"/>
      <c r="AA262" s="393"/>
      <c r="AB262" s="393"/>
      <c r="AC262" s="393"/>
      <c r="AD262" s="393"/>
      <c r="AE262" s="393"/>
      <c r="AF262" s="393"/>
      <c r="AG262" s="393"/>
      <c r="AH262" s="393"/>
      <c r="AI262" s="393"/>
      <c r="AJ262" s="393"/>
      <c r="AK262" s="393"/>
      <c r="AL262" s="393"/>
      <c r="AM262" s="393"/>
    </row>
    <row r="263" spans="1:39" s="21" customFormat="1">
      <c r="A263" s="37"/>
      <c r="C263" s="367"/>
      <c r="D263" s="367"/>
      <c r="E263" s="367"/>
      <c r="F263" s="367"/>
      <c r="G263" s="367"/>
      <c r="H263" s="367"/>
      <c r="I263" s="367"/>
      <c r="J263" s="365"/>
      <c r="K263" s="365"/>
      <c r="L263" s="365"/>
      <c r="M263" s="365"/>
      <c r="N263" s="365"/>
      <c r="O263" s="244"/>
      <c r="P263" s="365"/>
      <c r="Q263" s="365"/>
      <c r="R263" s="393"/>
      <c r="S263" s="393"/>
      <c r="T263" s="393"/>
      <c r="U263" s="393"/>
      <c r="V263" s="393"/>
      <c r="W263" s="393"/>
      <c r="X263" s="393"/>
      <c r="Y263" s="393"/>
      <c r="Z263" s="393"/>
      <c r="AA263" s="393"/>
      <c r="AB263" s="393"/>
      <c r="AC263" s="393"/>
      <c r="AD263" s="393"/>
      <c r="AE263" s="393"/>
      <c r="AF263" s="393"/>
      <c r="AG263" s="393"/>
      <c r="AH263" s="393"/>
      <c r="AI263" s="393"/>
      <c r="AJ263" s="393"/>
      <c r="AK263" s="393"/>
      <c r="AL263" s="393"/>
      <c r="AM263" s="393"/>
    </row>
    <row r="264" spans="1:39" s="21" customFormat="1">
      <c r="A264" s="37"/>
      <c r="C264" s="367"/>
      <c r="D264" s="367"/>
      <c r="E264" s="367"/>
      <c r="F264" s="367"/>
      <c r="G264" s="367"/>
      <c r="H264" s="367"/>
      <c r="I264" s="367"/>
      <c r="J264" s="365"/>
      <c r="K264" s="365"/>
      <c r="L264" s="365"/>
      <c r="M264" s="365"/>
      <c r="N264" s="365"/>
      <c r="O264" s="244"/>
      <c r="P264" s="365"/>
      <c r="Q264" s="365"/>
      <c r="R264" s="393"/>
      <c r="S264" s="393"/>
      <c r="T264" s="393"/>
      <c r="U264" s="393"/>
      <c r="V264" s="393"/>
      <c r="W264" s="393"/>
      <c r="X264" s="393"/>
      <c r="Y264" s="393"/>
      <c r="Z264" s="393"/>
      <c r="AA264" s="393"/>
      <c r="AB264" s="393"/>
      <c r="AC264" s="393"/>
      <c r="AD264" s="393"/>
      <c r="AE264" s="393"/>
      <c r="AF264" s="393"/>
      <c r="AG264" s="393"/>
      <c r="AH264" s="393"/>
      <c r="AI264" s="393"/>
      <c r="AJ264" s="393"/>
      <c r="AK264" s="393"/>
      <c r="AL264" s="393"/>
      <c r="AM264" s="393"/>
    </row>
    <row r="265" spans="1:39" s="21" customFormat="1">
      <c r="A265" s="37"/>
      <c r="C265" s="367"/>
      <c r="D265" s="367"/>
      <c r="E265" s="367"/>
      <c r="F265" s="367"/>
      <c r="G265" s="367"/>
      <c r="H265" s="367"/>
      <c r="I265" s="367"/>
      <c r="J265" s="365"/>
      <c r="K265" s="365"/>
      <c r="L265" s="365"/>
      <c r="M265" s="365"/>
      <c r="N265" s="365"/>
      <c r="O265" s="244"/>
      <c r="P265" s="365"/>
      <c r="Q265" s="365"/>
      <c r="R265" s="393"/>
      <c r="S265" s="393"/>
      <c r="T265" s="393"/>
      <c r="U265" s="393"/>
      <c r="V265" s="393"/>
      <c r="W265" s="393"/>
      <c r="X265" s="393"/>
      <c r="Y265" s="393"/>
      <c r="Z265" s="393"/>
      <c r="AA265" s="393"/>
      <c r="AB265" s="393"/>
      <c r="AC265" s="393"/>
      <c r="AD265" s="393"/>
      <c r="AE265" s="393"/>
      <c r="AF265" s="393"/>
      <c r="AG265" s="393"/>
      <c r="AH265" s="393"/>
      <c r="AI265" s="393"/>
      <c r="AJ265" s="393"/>
      <c r="AK265" s="393"/>
      <c r="AL265" s="393"/>
      <c r="AM265" s="393"/>
    </row>
    <row r="266" spans="1:39" s="21" customFormat="1">
      <c r="A266" s="37"/>
      <c r="C266" s="367"/>
      <c r="D266" s="367"/>
      <c r="E266" s="367"/>
      <c r="F266" s="367"/>
      <c r="G266" s="367"/>
      <c r="H266" s="367"/>
      <c r="I266" s="367"/>
      <c r="J266" s="365"/>
      <c r="K266" s="365"/>
      <c r="L266" s="365"/>
      <c r="M266" s="365"/>
      <c r="N266" s="365"/>
      <c r="O266" s="244"/>
      <c r="P266" s="365"/>
      <c r="Q266" s="365"/>
      <c r="R266" s="393"/>
      <c r="S266" s="393"/>
      <c r="T266" s="393"/>
      <c r="U266" s="393"/>
      <c r="V266" s="393"/>
      <c r="W266" s="393"/>
      <c r="X266" s="393"/>
      <c r="Y266" s="393"/>
      <c r="Z266" s="393"/>
      <c r="AA266" s="393"/>
      <c r="AB266" s="393"/>
      <c r="AC266" s="393"/>
      <c r="AD266" s="393"/>
      <c r="AE266" s="393"/>
      <c r="AF266" s="393"/>
      <c r="AG266" s="393"/>
      <c r="AH266" s="393"/>
      <c r="AI266" s="393"/>
      <c r="AJ266" s="393"/>
      <c r="AK266" s="393"/>
      <c r="AL266" s="393"/>
      <c r="AM266" s="393"/>
    </row>
    <row r="267" spans="1:39" s="21" customFormat="1">
      <c r="A267" s="37"/>
      <c r="C267" s="367"/>
      <c r="D267" s="367"/>
      <c r="E267" s="367"/>
      <c r="F267" s="367"/>
      <c r="G267" s="367"/>
      <c r="H267" s="367"/>
      <c r="I267" s="367"/>
      <c r="J267" s="365"/>
      <c r="K267" s="365"/>
      <c r="L267" s="365"/>
      <c r="M267" s="365"/>
      <c r="N267" s="365"/>
      <c r="O267" s="244"/>
      <c r="P267" s="365"/>
      <c r="Q267" s="365"/>
      <c r="R267" s="393"/>
      <c r="S267" s="393"/>
      <c r="T267" s="393"/>
      <c r="U267" s="393"/>
      <c r="V267" s="393"/>
      <c r="W267" s="393"/>
      <c r="X267" s="393"/>
      <c r="Y267" s="393"/>
      <c r="Z267" s="393"/>
      <c r="AA267" s="393"/>
      <c r="AB267" s="393"/>
      <c r="AC267" s="393"/>
      <c r="AD267" s="393"/>
      <c r="AE267" s="393"/>
      <c r="AF267" s="393"/>
      <c r="AG267" s="393"/>
      <c r="AH267" s="393"/>
      <c r="AI267" s="393"/>
      <c r="AJ267" s="393"/>
      <c r="AK267" s="393"/>
      <c r="AL267" s="393"/>
      <c r="AM267" s="393"/>
    </row>
    <row r="268" spans="1:39" s="21" customFormat="1">
      <c r="A268" s="37"/>
      <c r="C268" s="367"/>
      <c r="D268" s="367"/>
      <c r="E268" s="367"/>
      <c r="F268" s="367"/>
      <c r="G268" s="367"/>
      <c r="H268" s="367"/>
      <c r="I268" s="367"/>
      <c r="J268" s="365"/>
      <c r="K268" s="365"/>
      <c r="L268" s="365"/>
      <c r="M268" s="365"/>
      <c r="N268" s="365"/>
      <c r="O268" s="244"/>
      <c r="P268" s="365"/>
      <c r="Q268" s="365"/>
      <c r="R268" s="393"/>
      <c r="S268" s="393"/>
      <c r="T268" s="393"/>
      <c r="U268" s="393"/>
      <c r="V268" s="393"/>
      <c r="W268" s="393"/>
      <c r="X268" s="393"/>
      <c r="Y268" s="393"/>
      <c r="Z268" s="393"/>
      <c r="AA268" s="393"/>
      <c r="AB268" s="393"/>
      <c r="AC268" s="393"/>
      <c r="AD268" s="393"/>
      <c r="AE268" s="393"/>
      <c r="AF268" s="393"/>
      <c r="AG268" s="393"/>
      <c r="AH268" s="393"/>
      <c r="AI268" s="393"/>
      <c r="AJ268" s="393"/>
      <c r="AK268" s="393"/>
      <c r="AL268" s="393"/>
      <c r="AM268" s="393"/>
    </row>
    <row r="269" spans="1:39" s="21" customFormat="1">
      <c r="A269" s="37"/>
      <c r="C269" s="367"/>
      <c r="D269" s="367"/>
      <c r="E269" s="367"/>
      <c r="F269" s="367"/>
      <c r="G269" s="367"/>
      <c r="H269" s="367"/>
      <c r="I269" s="367"/>
      <c r="J269" s="365"/>
      <c r="K269" s="365"/>
      <c r="L269" s="365"/>
      <c r="M269" s="365"/>
      <c r="N269" s="365"/>
      <c r="O269" s="244"/>
      <c r="P269" s="365"/>
      <c r="Q269" s="365"/>
      <c r="R269" s="393"/>
      <c r="S269" s="393"/>
      <c r="T269" s="393"/>
      <c r="U269" s="393"/>
      <c r="V269" s="393"/>
      <c r="W269" s="393"/>
      <c r="X269" s="393"/>
      <c r="Y269" s="393"/>
      <c r="Z269" s="393"/>
      <c r="AA269" s="393"/>
      <c r="AB269" s="393"/>
      <c r="AC269" s="393"/>
      <c r="AD269" s="393"/>
      <c r="AE269" s="393"/>
      <c r="AF269" s="393"/>
      <c r="AG269" s="393"/>
      <c r="AH269" s="393"/>
      <c r="AI269" s="393"/>
      <c r="AJ269" s="393"/>
      <c r="AK269" s="393"/>
      <c r="AL269" s="393"/>
      <c r="AM269" s="393"/>
    </row>
    <row r="270" spans="1:39" s="21" customFormat="1">
      <c r="A270" s="37"/>
      <c r="C270" s="367"/>
      <c r="D270" s="367"/>
      <c r="E270" s="367"/>
      <c r="F270" s="367"/>
      <c r="G270" s="367"/>
      <c r="H270" s="367"/>
      <c r="I270" s="367"/>
      <c r="J270" s="365"/>
      <c r="K270" s="365"/>
      <c r="L270" s="365"/>
      <c r="M270" s="365"/>
      <c r="N270" s="365"/>
      <c r="O270" s="244"/>
      <c r="P270" s="365"/>
      <c r="Q270" s="365"/>
      <c r="R270" s="393"/>
      <c r="S270" s="393"/>
      <c r="T270" s="393"/>
      <c r="U270" s="393"/>
      <c r="V270" s="393"/>
      <c r="W270" s="393"/>
      <c r="X270" s="393"/>
      <c r="Y270" s="393"/>
      <c r="Z270" s="393"/>
      <c r="AA270" s="393"/>
      <c r="AB270" s="393"/>
      <c r="AC270" s="393"/>
      <c r="AD270" s="393"/>
      <c r="AE270" s="393"/>
      <c r="AF270" s="393"/>
      <c r="AG270" s="393"/>
      <c r="AH270" s="393"/>
      <c r="AI270" s="393"/>
      <c r="AJ270" s="393"/>
      <c r="AK270" s="393"/>
      <c r="AL270" s="393"/>
      <c r="AM270" s="393"/>
    </row>
    <row r="271" spans="1:39" s="21" customFormat="1">
      <c r="A271" s="37"/>
      <c r="C271" s="367"/>
      <c r="D271" s="367"/>
      <c r="E271" s="367"/>
      <c r="F271" s="367"/>
      <c r="G271" s="367"/>
      <c r="H271" s="367"/>
      <c r="I271" s="367"/>
      <c r="J271" s="365"/>
      <c r="K271" s="365"/>
      <c r="L271" s="365"/>
      <c r="M271" s="365"/>
      <c r="N271" s="365"/>
      <c r="O271" s="244"/>
      <c r="P271" s="365"/>
      <c r="Q271" s="365"/>
      <c r="R271" s="393"/>
      <c r="S271" s="393"/>
      <c r="T271" s="393"/>
      <c r="U271" s="393"/>
      <c r="V271" s="393"/>
      <c r="W271" s="393"/>
      <c r="X271" s="393"/>
      <c r="Y271" s="393"/>
      <c r="Z271" s="393"/>
      <c r="AA271" s="393"/>
      <c r="AB271" s="393"/>
      <c r="AC271" s="393"/>
      <c r="AD271" s="393"/>
      <c r="AE271" s="393"/>
      <c r="AF271" s="393"/>
      <c r="AG271" s="393"/>
      <c r="AH271" s="393"/>
      <c r="AI271" s="393"/>
      <c r="AJ271" s="393"/>
      <c r="AK271" s="393"/>
      <c r="AL271" s="393"/>
      <c r="AM271" s="393"/>
    </row>
    <row r="272" spans="1:39" s="21" customFormat="1">
      <c r="A272" s="37"/>
      <c r="C272" s="367"/>
      <c r="D272" s="367"/>
      <c r="E272" s="367"/>
      <c r="F272" s="367"/>
      <c r="G272" s="367"/>
      <c r="H272" s="367"/>
      <c r="I272" s="367"/>
      <c r="J272" s="365"/>
      <c r="K272" s="365"/>
      <c r="L272" s="365"/>
      <c r="M272" s="365"/>
      <c r="N272" s="365"/>
      <c r="O272" s="244"/>
      <c r="P272" s="365"/>
      <c r="Q272" s="365"/>
      <c r="R272" s="393"/>
      <c r="S272" s="393"/>
      <c r="T272" s="393"/>
      <c r="U272" s="393"/>
      <c r="V272" s="393"/>
      <c r="W272" s="393"/>
      <c r="X272" s="393"/>
      <c r="Y272" s="393"/>
      <c r="Z272" s="393"/>
      <c r="AA272" s="393"/>
      <c r="AB272" s="393"/>
      <c r="AC272" s="393"/>
      <c r="AD272" s="393"/>
      <c r="AE272" s="393"/>
      <c r="AF272" s="393"/>
      <c r="AG272" s="393"/>
      <c r="AH272" s="393"/>
      <c r="AI272" s="393"/>
      <c r="AJ272" s="393"/>
      <c r="AK272" s="393"/>
      <c r="AL272" s="393"/>
      <c r="AM272" s="393"/>
    </row>
    <row r="273" spans="1:39" s="21" customFormat="1">
      <c r="A273" s="37"/>
      <c r="C273" s="367"/>
      <c r="D273" s="367"/>
      <c r="E273" s="367"/>
      <c r="F273" s="367"/>
      <c r="G273" s="367"/>
      <c r="H273" s="367"/>
      <c r="I273" s="367"/>
      <c r="J273" s="365"/>
      <c r="K273" s="365"/>
      <c r="L273" s="365"/>
      <c r="M273" s="365"/>
      <c r="N273" s="365"/>
      <c r="O273" s="244"/>
      <c r="P273" s="365"/>
      <c r="Q273" s="365"/>
      <c r="R273" s="393"/>
      <c r="S273" s="393"/>
      <c r="T273" s="393"/>
      <c r="U273" s="393"/>
      <c r="V273" s="393"/>
      <c r="W273" s="393"/>
      <c r="X273" s="393"/>
      <c r="Y273" s="393"/>
      <c r="Z273" s="393"/>
      <c r="AA273" s="393"/>
      <c r="AB273" s="393"/>
      <c r="AC273" s="393"/>
      <c r="AD273" s="393"/>
      <c r="AE273" s="393"/>
      <c r="AF273" s="393"/>
      <c r="AG273" s="393"/>
      <c r="AH273" s="393"/>
      <c r="AI273" s="393"/>
      <c r="AJ273" s="393"/>
      <c r="AK273" s="393"/>
      <c r="AL273" s="393"/>
      <c r="AM273" s="393"/>
    </row>
    <row r="274" spans="1:39" s="21" customFormat="1">
      <c r="A274" s="37"/>
      <c r="C274" s="367"/>
      <c r="D274" s="367"/>
      <c r="E274" s="367"/>
      <c r="F274" s="367"/>
      <c r="G274" s="367"/>
      <c r="H274" s="367"/>
      <c r="I274" s="367"/>
      <c r="J274" s="365"/>
      <c r="K274" s="365"/>
      <c r="L274" s="365"/>
      <c r="M274" s="365"/>
      <c r="N274" s="365"/>
      <c r="O274" s="244"/>
      <c r="P274" s="365"/>
      <c r="Q274" s="365"/>
      <c r="R274" s="393"/>
      <c r="S274" s="393"/>
      <c r="T274" s="393"/>
      <c r="U274" s="393"/>
      <c r="V274" s="393"/>
      <c r="W274" s="393"/>
      <c r="X274" s="393"/>
      <c r="Y274" s="393"/>
      <c r="Z274" s="393"/>
      <c r="AA274" s="393"/>
      <c r="AB274" s="393"/>
      <c r="AC274" s="393"/>
      <c r="AD274" s="393"/>
      <c r="AE274" s="393"/>
      <c r="AF274" s="393"/>
      <c r="AG274" s="393"/>
      <c r="AH274" s="393"/>
      <c r="AI274" s="393"/>
      <c r="AJ274" s="393"/>
      <c r="AK274" s="393"/>
      <c r="AL274" s="393"/>
      <c r="AM274" s="393"/>
    </row>
    <row r="275" spans="1:39" s="21" customFormat="1">
      <c r="A275" s="37"/>
      <c r="C275" s="367"/>
      <c r="D275" s="367"/>
      <c r="E275" s="367"/>
      <c r="F275" s="367"/>
      <c r="G275" s="367"/>
      <c r="H275" s="367"/>
      <c r="I275" s="367"/>
      <c r="J275" s="365"/>
      <c r="K275" s="365"/>
      <c r="L275" s="365"/>
      <c r="M275" s="365"/>
      <c r="N275" s="365"/>
      <c r="O275" s="244"/>
      <c r="P275" s="365"/>
      <c r="Q275" s="365"/>
      <c r="R275" s="393"/>
      <c r="S275" s="393"/>
      <c r="T275" s="393"/>
      <c r="U275" s="393"/>
      <c r="V275" s="393"/>
      <c r="W275" s="393"/>
      <c r="X275" s="393"/>
      <c r="Y275" s="393"/>
      <c r="Z275" s="393"/>
      <c r="AA275" s="393"/>
      <c r="AB275" s="393"/>
      <c r="AC275" s="393"/>
      <c r="AD275" s="393"/>
      <c r="AE275" s="393"/>
      <c r="AF275" s="393"/>
      <c r="AG275" s="393"/>
      <c r="AH275" s="393"/>
      <c r="AI275" s="393"/>
      <c r="AJ275" s="393"/>
      <c r="AK275" s="393"/>
      <c r="AL275" s="393"/>
      <c r="AM275" s="393"/>
    </row>
    <row r="276" spans="1:39" s="21" customFormat="1">
      <c r="A276" s="37"/>
      <c r="C276" s="367"/>
      <c r="D276" s="367"/>
      <c r="E276" s="367"/>
      <c r="F276" s="367"/>
      <c r="G276" s="367"/>
      <c r="H276" s="367"/>
      <c r="I276" s="367"/>
      <c r="J276" s="365"/>
      <c r="K276" s="365"/>
      <c r="L276" s="365"/>
      <c r="M276" s="365"/>
      <c r="N276" s="365"/>
      <c r="O276" s="244"/>
      <c r="P276" s="365"/>
      <c r="Q276" s="365"/>
      <c r="R276" s="393"/>
      <c r="S276" s="393"/>
      <c r="T276" s="393"/>
      <c r="U276" s="393"/>
      <c r="V276" s="393"/>
      <c r="W276" s="393"/>
      <c r="X276" s="393"/>
      <c r="Y276" s="393"/>
      <c r="Z276" s="393"/>
      <c r="AA276" s="393"/>
      <c r="AB276" s="393"/>
      <c r="AC276" s="393"/>
      <c r="AD276" s="393"/>
      <c r="AE276" s="393"/>
      <c r="AF276" s="393"/>
      <c r="AG276" s="393"/>
      <c r="AH276" s="393"/>
      <c r="AI276" s="393"/>
      <c r="AJ276" s="393"/>
      <c r="AK276" s="393"/>
      <c r="AL276" s="393"/>
      <c r="AM276" s="393"/>
    </row>
    <row r="277" spans="1:39" s="21" customFormat="1">
      <c r="A277" s="37"/>
      <c r="C277" s="367"/>
      <c r="D277" s="367"/>
      <c r="E277" s="367"/>
      <c r="F277" s="367"/>
      <c r="G277" s="367"/>
      <c r="H277" s="367"/>
      <c r="I277" s="367"/>
      <c r="J277" s="365"/>
      <c r="K277" s="365"/>
      <c r="L277" s="365"/>
      <c r="M277" s="365"/>
      <c r="N277" s="365"/>
      <c r="O277" s="244"/>
      <c r="P277" s="365"/>
      <c r="Q277" s="365"/>
      <c r="R277" s="393"/>
      <c r="S277" s="393"/>
      <c r="T277" s="393"/>
      <c r="U277" s="393"/>
      <c r="V277" s="393"/>
      <c r="W277" s="393"/>
      <c r="X277" s="393"/>
      <c r="Y277" s="393"/>
      <c r="Z277" s="393"/>
      <c r="AA277" s="393"/>
      <c r="AB277" s="393"/>
      <c r="AC277" s="393"/>
      <c r="AD277" s="393"/>
      <c r="AE277" s="393"/>
      <c r="AF277" s="393"/>
      <c r="AG277" s="393"/>
      <c r="AH277" s="393"/>
      <c r="AI277" s="393"/>
      <c r="AJ277" s="393"/>
      <c r="AK277" s="393"/>
      <c r="AL277" s="393"/>
      <c r="AM277" s="393"/>
    </row>
    <row r="278" spans="1:39" s="21" customFormat="1">
      <c r="A278" s="37"/>
      <c r="C278" s="367"/>
      <c r="D278" s="367"/>
      <c r="E278" s="367"/>
      <c r="F278" s="367"/>
      <c r="G278" s="367"/>
      <c r="H278" s="367"/>
      <c r="I278" s="367"/>
      <c r="J278" s="365"/>
      <c r="K278" s="365"/>
      <c r="L278" s="365"/>
      <c r="M278" s="365"/>
      <c r="N278" s="365"/>
      <c r="O278" s="244"/>
      <c r="P278" s="365"/>
      <c r="Q278" s="365"/>
      <c r="R278" s="393"/>
      <c r="S278" s="393"/>
      <c r="T278" s="393"/>
      <c r="U278" s="393"/>
      <c r="V278" s="393"/>
      <c r="W278" s="393"/>
      <c r="X278" s="393"/>
      <c r="Y278" s="393"/>
      <c r="Z278" s="393"/>
      <c r="AA278" s="393"/>
      <c r="AB278" s="393"/>
      <c r="AC278" s="393"/>
      <c r="AD278" s="393"/>
      <c r="AE278" s="393"/>
      <c r="AF278" s="393"/>
      <c r="AG278" s="393"/>
      <c r="AH278" s="393"/>
      <c r="AI278" s="393"/>
      <c r="AJ278" s="393"/>
      <c r="AK278" s="393"/>
      <c r="AL278" s="393"/>
      <c r="AM278" s="393"/>
    </row>
    <row r="279" spans="1:39" s="21" customFormat="1">
      <c r="A279" s="37"/>
      <c r="C279" s="367"/>
      <c r="D279" s="367"/>
      <c r="E279" s="367"/>
      <c r="F279" s="367"/>
      <c r="G279" s="367"/>
      <c r="H279" s="367"/>
      <c r="I279" s="367"/>
      <c r="J279" s="365"/>
      <c r="K279" s="365"/>
      <c r="L279" s="365"/>
      <c r="M279" s="365"/>
      <c r="N279" s="365"/>
      <c r="O279" s="244"/>
      <c r="P279" s="365"/>
      <c r="Q279" s="365"/>
      <c r="R279" s="393"/>
      <c r="S279" s="393"/>
      <c r="T279" s="393"/>
      <c r="U279" s="393"/>
      <c r="V279" s="393"/>
      <c r="W279" s="393"/>
      <c r="X279" s="393"/>
      <c r="Y279" s="393"/>
      <c r="Z279" s="393"/>
      <c r="AA279" s="393"/>
      <c r="AB279" s="393"/>
      <c r="AC279" s="393"/>
      <c r="AD279" s="393"/>
      <c r="AE279" s="393"/>
      <c r="AF279" s="393"/>
      <c r="AG279" s="393"/>
      <c r="AH279" s="393"/>
      <c r="AI279" s="393"/>
      <c r="AJ279" s="393"/>
      <c r="AK279" s="393"/>
      <c r="AL279" s="393"/>
      <c r="AM279" s="393"/>
    </row>
    <row r="280" spans="1:39" s="21" customFormat="1">
      <c r="A280" s="37"/>
      <c r="C280" s="367"/>
      <c r="D280" s="367"/>
      <c r="E280" s="367"/>
      <c r="F280" s="367"/>
      <c r="G280" s="367"/>
      <c r="H280" s="367"/>
      <c r="I280" s="367"/>
      <c r="J280" s="365"/>
      <c r="K280" s="365"/>
      <c r="L280" s="365"/>
      <c r="M280" s="365"/>
      <c r="N280" s="365"/>
      <c r="O280" s="244"/>
      <c r="P280" s="365"/>
      <c r="Q280" s="365"/>
      <c r="R280" s="393"/>
      <c r="S280" s="393"/>
      <c r="T280" s="393"/>
      <c r="U280" s="393"/>
      <c r="V280" s="393"/>
      <c r="W280" s="393"/>
      <c r="X280" s="393"/>
      <c r="Y280" s="393"/>
      <c r="Z280" s="393"/>
      <c r="AA280" s="393"/>
      <c r="AB280" s="393"/>
      <c r="AC280" s="393"/>
      <c r="AD280" s="393"/>
      <c r="AE280" s="393"/>
      <c r="AF280" s="393"/>
      <c r="AG280" s="393"/>
      <c r="AH280" s="393"/>
      <c r="AI280" s="393"/>
      <c r="AJ280" s="393"/>
      <c r="AK280" s="393"/>
      <c r="AL280" s="393"/>
      <c r="AM280" s="393"/>
    </row>
    <row r="281" spans="1:39" s="21" customFormat="1">
      <c r="A281" s="37"/>
      <c r="C281" s="367"/>
      <c r="D281" s="367"/>
      <c r="E281" s="367"/>
      <c r="F281" s="367"/>
      <c r="G281" s="367"/>
      <c r="H281" s="367"/>
      <c r="I281" s="367"/>
      <c r="J281" s="365"/>
      <c r="K281" s="365"/>
      <c r="L281" s="365"/>
      <c r="M281" s="365"/>
      <c r="N281" s="365"/>
      <c r="O281" s="244"/>
      <c r="P281" s="365"/>
      <c r="Q281" s="365"/>
      <c r="R281" s="393"/>
      <c r="S281" s="393"/>
      <c r="T281" s="393"/>
      <c r="U281" s="393"/>
      <c r="V281" s="393"/>
      <c r="W281" s="393"/>
      <c r="X281" s="393"/>
      <c r="Y281" s="393"/>
      <c r="Z281" s="393"/>
      <c r="AA281" s="393"/>
      <c r="AB281" s="393"/>
      <c r="AC281" s="393"/>
      <c r="AD281" s="393"/>
      <c r="AE281" s="393"/>
      <c r="AF281" s="393"/>
      <c r="AG281" s="393"/>
      <c r="AH281" s="393"/>
      <c r="AI281" s="393"/>
      <c r="AJ281" s="393"/>
      <c r="AK281" s="393"/>
      <c r="AL281" s="393"/>
      <c r="AM281" s="393"/>
    </row>
    <row r="282" spans="1:39" s="21" customFormat="1">
      <c r="A282" s="37"/>
      <c r="C282" s="367"/>
      <c r="D282" s="367"/>
      <c r="E282" s="367"/>
      <c r="F282" s="367"/>
      <c r="G282" s="367"/>
      <c r="H282" s="367"/>
      <c r="I282" s="367"/>
      <c r="J282" s="365"/>
      <c r="K282" s="365"/>
      <c r="L282" s="365"/>
      <c r="M282" s="365"/>
      <c r="N282" s="365"/>
      <c r="O282" s="244"/>
      <c r="P282" s="365"/>
      <c r="Q282" s="365"/>
      <c r="R282" s="393"/>
      <c r="S282" s="393"/>
      <c r="T282" s="393"/>
      <c r="U282" s="393"/>
      <c r="V282" s="393"/>
      <c r="W282" s="393"/>
      <c r="X282" s="393"/>
      <c r="Y282" s="393"/>
      <c r="Z282" s="393"/>
      <c r="AA282" s="393"/>
      <c r="AB282" s="393"/>
      <c r="AC282" s="393"/>
      <c r="AD282" s="393"/>
      <c r="AE282" s="393"/>
      <c r="AF282" s="393"/>
      <c r="AG282" s="393"/>
      <c r="AH282" s="393"/>
      <c r="AI282" s="393"/>
      <c r="AJ282" s="393"/>
      <c r="AK282" s="393"/>
      <c r="AL282" s="393"/>
      <c r="AM282" s="393"/>
    </row>
    <row r="283" spans="1:39" s="21" customFormat="1">
      <c r="A283" s="37"/>
      <c r="C283" s="367"/>
      <c r="D283" s="367"/>
      <c r="E283" s="367"/>
      <c r="F283" s="367"/>
      <c r="G283" s="367"/>
      <c r="H283" s="367"/>
      <c r="I283" s="367"/>
      <c r="J283" s="365"/>
      <c r="K283" s="365"/>
      <c r="L283" s="365"/>
      <c r="M283" s="365"/>
      <c r="N283" s="365"/>
      <c r="O283" s="244"/>
      <c r="P283" s="365"/>
      <c r="Q283" s="365"/>
      <c r="R283" s="393"/>
      <c r="S283" s="393"/>
      <c r="T283" s="393"/>
      <c r="U283" s="393"/>
      <c r="V283" s="393"/>
      <c r="W283" s="393"/>
      <c r="X283" s="393"/>
      <c r="Y283" s="393"/>
      <c r="Z283" s="393"/>
      <c r="AA283" s="393"/>
      <c r="AB283" s="393"/>
      <c r="AC283" s="393"/>
      <c r="AD283" s="393"/>
      <c r="AE283" s="393"/>
      <c r="AF283" s="393"/>
      <c r="AG283" s="393"/>
      <c r="AH283" s="393"/>
      <c r="AI283" s="393"/>
      <c r="AJ283" s="393"/>
      <c r="AK283" s="393"/>
      <c r="AL283" s="393"/>
      <c r="AM283" s="393"/>
    </row>
    <row r="284" spans="1:39" s="21" customFormat="1">
      <c r="A284" s="37"/>
      <c r="C284" s="367"/>
      <c r="D284" s="367"/>
      <c r="E284" s="367"/>
      <c r="F284" s="367"/>
      <c r="G284" s="367"/>
      <c r="H284" s="367"/>
      <c r="I284" s="367"/>
      <c r="J284" s="365"/>
      <c r="K284" s="365"/>
      <c r="L284" s="365"/>
      <c r="M284" s="365"/>
      <c r="N284" s="365"/>
      <c r="O284" s="244"/>
      <c r="P284" s="365"/>
      <c r="Q284" s="365"/>
      <c r="R284" s="393"/>
      <c r="S284" s="393"/>
      <c r="T284" s="393"/>
      <c r="U284" s="393"/>
      <c r="V284" s="393"/>
      <c r="W284" s="393"/>
      <c r="X284" s="393"/>
      <c r="Y284" s="393"/>
      <c r="Z284" s="393"/>
      <c r="AA284" s="393"/>
      <c r="AB284" s="393"/>
      <c r="AC284" s="393"/>
      <c r="AD284" s="393"/>
      <c r="AE284" s="393"/>
      <c r="AF284" s="393"/>
      <c r="AG284" s="393"/>
      <c r="AH284" s="393"/>
      <c r="AI284" s="393"/>
      <c r="AJ284" s="393"/>
      <c r="AK284" s="393"/>
      <c r="AL284" s="393"/>
      <c r="AM284" s="393"/>
    </row>
    <row r="285" spans="1:39" s="21" customFormat="1">
      <c r="A285" s="37"/>
      <c r="C285" s="367"/>
      <c r="D285" s="367"/>
      <c r="E285" s="367"/>
      <c r="F285" s="367"/>
      <c r="G285" s="367"/>
      <c r="H285" s="367"/>
      <c r="I285" s="367"/>
      <c r="J285" s="365"/>
      <c r="K285" s="365"/>
      <c r="L285" s="365"/>
      <c r="M285" s="365"/>
      <c r="N285" s="365"/>
      <c r="O285" s="244"/>
      <c r="P285" s="365"/>
      <c r="Q285" s="365"/>
      <c r="R285" s="393"/>
      <c r="S285" s="393"/>
      <c r="T285" s="393"/>
      <c r="U285" s="393"/>
      <c r="V285" s="393"/>
      <c r="W285" s="393"/>
      <c r="X285" s="393"/>
      <c r="Y285" s="393"/>
      <c r="Z285" s="393"/>
      <c r="AA285" s="393"/>
      <c r="AB285" s="393"/>
      <c r="AC285" s="393"/>
      <c r="AD285" s="393"/>
      <c r="AE285" s="393"/>
      <c r="AF285" s="393"/>
      <c r="AG285" s="393"/>
      <c r="AH285" s="393"/>
      <c r="AI285" s="393"/>
      <c r="AJ285" s="393"/>
      <c r="AK285" s="393"/>
      <c r="AL285" s="393"/>
      <c r="AM285" s="393"/>
    </row>
    <row r="286" spans="1:39" s="21" customFormat="1">
      <c r="A286" s="37"/>
      <c r="C286" s="367"/>
      <c r="D286" s="367"/>
      <c r="E286" s="367"/>
      <c r="F286" s="367"/>
      <c r="G286" s="367"/>
      <c r="H286" s="367"/>
      <c r="I286" s="367"/>
      <c r="J286" s="365"/>
      <c r="K286" s="365"/>
      <c r="L286" s="365"/>
      <c r="M286" s="365"/>
      <c r="N286" s="365"/>
      <c r="O286" s="244"/>
      <c r="P286" s="365"/>
      <c r="Q286" s="365"/>
      <c r="R286" s="393"/>
      <c r="S286" s="393"/>
      <c r="T286" s="393"/>
      <c r="U286" s="393"/>
      <c r="V286" s="393"/>
      <c r="W286" s="393"/>
      <c r="X286" s="393"/>
      <c r="Y286" s="393"/>
      <c r="Z286" s="393"/>
      <c r="AA286" s="393"/>
      <c r="AB286" s="393"/>
      <c r="AC286" s="393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</row>
    <row r="287" spans="1:39" s="21" customFormat="1">
      <c r="A287" s="37"/>
      <c r="C287" s="367"/>
      <c r="D287" s="367"/>
      <c r="E287" s="367"/>
      <c r="F287" s="367"/>
      <c r="G287" s="367"/>
      <c r="H287" s="367"/>
      <c r="I287" s="367"/>
      <c r="J287" s="365"/>
      <c r="K287" s="365"/>
      <c r="L287" s="365"/>
      <c r="M287" s="365"/>
      <c r="N287" s="365"/>
      <c r="O287" s="244"/>
      <c r="P287" s="365"/>
      <c r="Q287" s="365"/>
      <c r="R287" s="393"/>
      <c r="S287" s="393"/>
      <c r="T287" s="393"/>
      <c r="U287" s="393"/>
      <c r="V287" s="393"/>
      <c r="W287" s="393"/>
      <c r="X287" s="393"/>
      <c r="Y287" s="393"/>
      <c r="Z287" s="393"/>
      <c r="AA287" s="393"/>
      <c r="AB287" s="393"/>
      <c r="AC287" s="393"/>
      <c r="AD287" s="393"/>
      <c r="AE287" s="393"/>
      <c r="AF287" s="393"/>
      <c r="AG287" s="393"/>
      <c r="AH287" s="393"/>
      <c r="AI287" s="393"/>
      <c r="AJ287" s="393"/>
      <c r="AK287" s="393"/>
      <c r="AL287" s="393"/>
      <c r="AM287" s="393"/>
    </row>
    <row r="288" spans="1:39" s="21" customFormat="1">
      <c r="A288" s="37"/>
      <c r="C288" s="367"/>
      <c r="D288" s="367"/>
      <c r="E288" s="367"/>
      <c r="F288" s="367"/>
      <c r="G288" s="367"/>
      <c r="H288" s="367"/>
      <c r="I288" s="367"/>
      <c r="J288" s="365"/>
      <c r="K288" s="365"/>
      <c r="L288" s="365"/>
      <c r="M288" s="365"/>
      <c r="N288" s="365"/>
      <c r="O288" s="244"/>
      <c r="P288" s="365"/>
      <c r="Q288" s="365"/>
      <c r="R288" s="393"/>
      <c r="S288" s="393"/>
      <c r="T288" s="393"/>
      <c r="U288" s="393"/>
      <c r="V288" s="393"/>
      <c r="W288" s="393"/>
      <c r="X288" s="393"/>
      <c r="Y288" s="393"/>
      <c r="Z288" s="393"/>
      <c r="AA288" s="393"/>
      <c r="AB288" s="393"/>
      <c r="AC288" s="393"/>
      <c r="AD288" s="393"/>
      <c r="AE288" s="393"/>
      <c r="AF288" s="393"/>
      <c r="AG288" s="393"/>
      <c r="AH288" s="393"/>
      <c r="AI288" s="393"/>
      <c r="AJ288" s="393"/>
      <c r="AK288" s="393"/>
      <c r="AL288" s="393"/>
      <c r="AM288" s="393"/>
    </row>
    <row r="289" spans="1:39" s="21" customFormat="1">
      <c r="A289" s="37"/>
      <c r="C289" s="367"/>
      <c r="D289" s="367"/>
      <c r="E289" s="367"/>
      <c r="F289" s="367"/>
      <c r="G289" s="367"/>
      <c r="H289" s="367"/>
      <c r="I289" s="367"/>
      <c r="J289" s="365"/>
      <c r="K289" s="365"/>
      <c r="L289" s="365"/>
      <c r="M289" s="365"/>
      <c r="N289" s="365"/>
      <c r="O289" s="244"/>
      <c r="P289" s="365"/>
      <c r="Q289" s="365"/>
      <c r="R289" s="393"/>
      <c r="S289" s="393"/>
      <c r="T289" s="393"/>
      <c r="U289" s="393"/>
      <c r="V289" s="393"/>
      <c r="W289" s="393"/>
      <c r="X289" s="393"/>
      <c r="Y289" s="393"/>
      <c r="Z289" s="393"/>
      <c r="AA289" s="393"/>
      <c r="AB289" s="393"/>
      <c r="AC289" s="393"/>
      <c r="AD289" s="393"/>
      <c r="AE289" s="393"/>
      <c r="AF289" s="393"/>
      <c r="AG289" s="393"/>
      <c r="AH289" s="393"/>
      <c r="AI289" s="393"/>
      <c r="AJ289" s="393"/>
      <c r="AK289" s="393"/>
      <c r="AL289" s="393"/>
      <c r="AM289" s="393"/>
    </row>
    <row r="290" spans="1:39" s="21" customFormat="1">
      <c r="A290" s="37"/>
      <c r="C290" s="367"/>
      <c r="D290" s="367"/>
      <c r="E290" s="367"/>
      <c r="F290" s="367"/>
      <c r="G290" s="367"/>
      <c r="H290" s="367"/>
      <c r="I290" s="367"/>
      <c r="J290" s="365"/>
      <c r="K290" s="365"/>
      <c r="L290" s="365"/>
      <c r="M290" s="365"/>
      <c r="N290" s="365"/>
      <c r="O290" s="244"/>
      <c r="P290" s="365"/>
      <c r="Q290" s="365"/>
      <c r="R290" s="393"/>
      <c r="S290" s="393"/>
      <c r="T290" s="393"/>
      <c r="U290" s="393"/>
      <c r="V290" s="393"/>
      <c r="W290" s="393"/>
      <c r="X290" s="393"/>
      <c r="Y290" s="393"/>
      <c r="Z290" s="393"/>
      <c r="AA290" s="393"/>
      <c r="AB290" s="393"/>
      <c r="AC290" s="393"/>
      <c r="AD290" s="393"/>
      <c r="AE290" s="393"/>
      <c r="AF290" s="393"/>
      <c r="AG290" s="393"/>
      <c r="AH290" s="393"/>
      <c r="AI290" s="393"/>
      <c r="AJ290" s="393"/>
      <c r="AK290" s="393"/>
      <c r="AL290" s="393"/>
      <c r="AM290" s="393"/>
    </row>
    <row r="291" spans="1:39" s="21" customFormat="1">
      <c r="A291" s="37"/>
      <c r="C291" s="367"/>
      <c r="D291" s="367"/>
      <c r="E291" s="367"/>
      <c r="F291" s="367"/>
      <c r="G291" s="367"/>
      <c r="H291" s="367"/>
      <c r="I291" s="367"/>
      <c r="J291" s="365"/>
      <c r="K291" s="365"/>
      <c r="L291" s="365"/>
      <c r="M291" s="365"/>
      <c r="N291" s="365"/>
      <c r="O291" s="244"/>
      <c r="P291" s="365"/>
      <c r="Q291" s="365"/>
      <c r="R291" s="393"/>
      <c r="S291" s="393"/>
      <c r="T291" s="393"/>
      <c r="U291" s="393"/>
      <c r="V291" s="393"/>
      <c r="W291" s="393"/>
      <c r="X291" s="393"/>
      <c r="Y291" s="393"/>
      <c r="Z291" s="393"/>
      <c r="AA291" s="393"/>
      <c r="AB291" s="393"/>
      <c r="AC291" s="393"/>
      <c r="AD291" s="393"/>
      <c r="AE291" s="393"/>
      <c r="AF291" s="393"/>
      <c r="AG291" s="393"/>
      <c r="AH291" s="393"/>
      <c r="AI291" s="393"/>
      <c r="AJ291" s="393"/>
      <c r="AK291" s="393"/>
      <c r="AL291" s="393"/>
      <c r="AM291" s="393"/>
    </row>
    <row r="292" spans="1:39" s="21" customFormat="1">
      <c r="A292" s="37"/>
      <c r="C292" s="367"/>
      <c r="D292" s="367"/>
      <c r="E292" s="367"/>
      <c r="F292" s="367"/>
      <c r="G292" s="367"/>
      <c r="H292" s="367"/>
      <c r="I292" s="367"/>
      <c r="J292" s="365"/>
      <c r="K292" s="365"/>
      <c r="L292" s="365"/>
      <c r="M292" s="365"/>
      <c r="N292" s="365"/>
      <c r="O292" s="244"/>
      <c r="P292" s="365"/>
      <c r="Q292" s="365"/>
      <c r="R292" s="393"/>
      <c r="S292" s="393"/>
      <c r="T292" s="393"/>
      <c r="U292" s="393"/>
      <c r="V292" s="393"/>
      <c r="W292" s="393"/>
      <c r="X292" s="393"/>
      <c r="Y292" s="393"/>
      <c r="Z292" s="393"/>
      <c r="AA292" s="393"/>
      <c r="AB292" s="393"/>
      <c r="AC292" s="393"/>
      <c r="AD292" s="393"/>
      <c r="AE292" s="393"/>
      <c r="AF292" s="393"/>
      <c r="AG292" s="393"/>
      <c r="AH292" s="393"/>
      <c r="AI292" s="393"/>
      <c r="AJ292" s="393"/>
      <c r="AK292" s="393"/>
      <c r="AL292" s="393"/>
      <c r="AM292" s="393"/>
    </row>
    <row r="293" spans="1:39" s="21" customFormat="1">
      <c r="A293" s="37"/>
      <c r="C293" s="367"/>
      <c r="D293" s="367"/>
      <c r="E293" s="367"/>
      <c r="F293" s="367"/>
      <c r="G293" s="367"/>
      <c r="H293" s="367"/>
      <c r="I293" s="367"/>
      <c r="J293" s="365"/>
      <c r="K293" s="365"/>
      <c r="L293" s="365"/>
      <c r="M293" s="365"/>
      <c r="N293" s="365"/>
      <c r="O293" s="244"/>
      <c r="P293" s="365"/>
      <c r="Q293" s="365"/>
      <c r="R293" s="393"/>
      <c r="S293" s="393"/>
      <c r="T293" s="393"/>
      <c r="U293" s="393"/>
      <c r="V293" s="393"/>
      <c r="W293" s="393"/>
      <c r="X293" s="393"/>
      <c r="Y293" s="393"/>
      <c r="Z293" s="393"/>
      <c r="AA293" s="393"/>
      <c r="AB293" s="393"/>
      <c r="AC293" s="393"/>
      <c r="AD293" s="393"/>
      <c r="AE293" s="393"/>
      <c r="AF293" s="393"/>
      <c r="AG293" s="393"/>
      <c r="AH293" s="393"/>
      <c r="AI293" s="393"/>
      <c r="AJ293" s="393"/>
      <c r="AK293" s="393"/>
      <c r="AL293" s="393"/>
      <c r="AM293" s="393"/>
    </row>
    <row r="294" spans="1:39" s="21" customFormat="1">
      <c r="A294" s="37"/>
      <c r="C294" s="367"/>
      <c r="D294" s="367"/>
      <c r="E294" s="367"/>
      <c r="F294" s="367"/>
      <c r="G294" s="367"/>
      <c r="H294" s="367"/>
      <c r="I294" s="367"/>
      <c r="J294" s="365"/>
      <c r="K294" s="365"/>
      <c r="L294" s="365"/>
      <c r="M294" s="365"/>
      <c r="N294" s="365"/>
      <c r="O294" s="244"/>
      <c r="P294" s="365"/>
      <c r="Q294" s="365"/>
      <c r="R294" s="393"/>
      <c r="S294" s="393"/>
      <c r="T294" s="393"/>
      <c r="U294" s="393"/>
      <c r="V294" s="393"/>
      <c r="W294" s="393"/>
      <c r="X294" s="393"/>
      <c r="Y294" s="393"/>
      <c r="Z294" s="393"/>
      <c r="AA294" s="393"/>
      <c r="AB294" s="393"/>
      <c r="AC294" s="393"/>
      <c r="AD294" s="393"/>
      <c r="AE294" s="393"/>
      <c r="AF294" s="393"/>
      <c r="AG294" s="393"/>
      <c r="AH294" s="393"/>
      <c r="AI294" s="393"/>
      <c r="AJ294" s="393"/>
      <c r="AK294" s="393"/>
      <c r="AL294" s="393"/>
      <c r="AM294" s="393"/>
    </row>
    <row r="295" spans="1:39" s="21" customFormat="1">
      <c r="A295" s="37"/>
      <c r="C295" s="367"/>
      <c r="D295" s="367"/>
      <c r="E295" s="367"/>
      <c r="F295" s="367"/>
      <c r="G295" s="367"/>
      <c r="H295" s="367"/>
      <c r="I295" s="367"/>
      <c r="J295" s="365"/>
      <c r="K295" s="365"/>
      <c r="L295" s="365"/>
      <c r="M295" s="365"/>
      <c r="N295" s="365"/>
      <c r="O295" s="244"/>
      <c r="P295" s="365"/>
      <c r="Q295" s="365"/>
      <c r="R295" s="393"/>
      <c r="S295" s="393"/>
      <c r="T295" s="393"/>
      <c r="U295" s="393"/>
      <c r="V295" s="393"/>
      <c r="W295" s="393"/>
      <c r="X295" s="393"/>
      <c r="Y295" s="393"/>
      <c r="Z295" s="393"/>
      <c r="AA295" s="393"/>
      <c r="AB295" s="393"/>
      <c r="AC295" s="393"/>
      <c r="AD295" s="393"/>
      <c r="AE295" s="393"/>
      <c r="AF295" s="393"/>
      <c r="AG295" s="393"/>
      <c r="AH295" s="393"/>
      <c r="AI295" s="393"/>
      <c r="AJ295" s="393"/>
      <c r="AK295" s="393"/>
      <c r="AL295" s="393"/>
      <c r="AM295" s="393"/>
    </row>
    <row r="296" spans="1:39" s="21" customFormat="1">
      <c r="A296" s="37"/>
      <c r="C296" s="367"/>
      <c r="D296" s="367"/>
      <c r="E296" s="367"/>
      <c r="F296" s="367"/>
      <c r="G296" s="367"/>
      <c r="H296" s="367"/>
      <c r="I296" s="367"/>
      <c r="J296" s="365"/>
      <c r="K296" s="365"/>
      <c r="L296" s="365"/>
      <c r="M296" s="365"/>
      <c r="N296" s="365"/>
      <c r="O296" s="244"/>
      <c r="P296" s="365"/>
      <c r="Q296" s="365"/>
      <c r="R296" s="393"/>
      <c r="S296" s="393"/>
      <c r="T296" s="393"/>
      <c r="U296" s="393"/>
      <c r="V296" s="393"/>
      <c r="W296" s="393"/>
      <c r="X296" s="393"/>
      <c r="Y296" s="393"/>
      <c r="Z296" s="393"/>
      <c r="AA296" s="393"/>
      <c r="AB296" s="393"/>
      <c r="AC296" s="393"/>
      <c r="AD296" s="393"/>
      <c r="AE296" s="393"/>
      <c r="AF296" s="393"/>
      <c r="AG296" s="393"/>
      <c r="AH296" s="393"/>
      <c r="AI296" s="393"/>
      <c r="AJ296" s="393"/>
      <c r="AK296" s="393"/>
      <c r="AL296" s="393"/>
      <c r="AM296" s="393"/>
    </row>
    <row r="297" spans="1:39" s="21" customFormat="1">
      <c r="A297" s="37"/>
      <c r="C297" s="367"/>
      <c r="D297" s="367"/>
      <c r="E297" s="367"/>
      <c r="F297" s="367"/>
      <c r="G297" s="367"/>
      <c r="H297" s="367"/>
      <c r="I297" s="367"/>
      <c r="J297" s="365"/>
      <c r="K297" s="365"/>
      <c r="L297" s="365"/>
      <c r="M297" s="365"/>
      <c r="N297" s="365"/>
      <c r="O297" s="244"/>
      <c r="P297" s="365"/>
      <c r="Q297" s="365"/>
      <c r="R297" s="393"/>
      <c r="S297" s="393"/>
      <c r="T297" s="393"/>
      <c r="U297" s="393"/>
      <c r="V297" s="393"/>
      <c r="W297" s="393"/>
      <c r="X297" s="393"/>
      <c r="Y297" s="393"/>
      <c r="Z297" s="393"/>
      <c r="AA297" s="393"/>
      <c r="AB297" s="393"/>
      <c r="AC297" s="393"/>
      <c r="AD297" s="393"/>
      <c r="AE297" s="393"/>
      <c r="AF297" s="393"/>
      <c r="AG297" s="393"/>
      <c r="AH297" s="393"/>
      <c r="AI297" s="393"/>
      <c r="AJ297" s="393"/>
      <c r="AK297" s="393"/>
      <c r="AL297" s="393"/>
      <c r="AM297" s="393"/>
    </row>
    <row r="298" spans="1:39" s="21" customFormat="1">
      <c r="A298" s="37"/>
      <c r="C298" s="367"/>
      <c r="D298" s="367"/>
      <c r="E298" s="367"/>
      <c r="F298" s="367"/>
      <c r="G298" s="367"/>
      <c r="H298" s="367"/>
      <c r="I298" s="367"/>
      <c r="J298" s="365"/>
      <c r="K298" s="365"/>
      <c r="L298" s="365"/>
      <c r="M298" s="365"/>
      <c r="N298" s="365"/>
      <c r="O298" s="244"/>
      <c r="P298" s="365"/>
      <c r="Q298" s="365"/>
      <c r="R298" s="393"/>
      <c r="S298" s="393"/>
      <c r="T298" s="393"/>
      <c r="U298" s="393"/>
      <c r="V298" s="393"/>
      <c r="W298" s="393"/>
      <c r="X298" s="393"/>
      <c r="Y298" s="393"/>
      <c r="Z298" s="393"/>
      <c r="AA298" s="393"/>
      <c r="AB298" s="393"/>
      <c r="AC298" s="393"/>
      <c r="AD298" s="393"/>
      <c r="AE298" s="393"/>
      <c r="AF298" s="393"/>
      <c r="AG298" s="393"/>
      <c r="AH298" s="393"/>
      <c r="AI298" s="393"/>
      <c r="AJ298" s="393"/>
      <c r="AK298" s="393"/>
      <c r="AL298" s="393"/>
      <c r="AM298" s="393"/>
    </row>
    <row r="299" spans="1:39" s="21" customFormat="1">
      <c r="A299" s="37"/>
      <c r="C299" s="367"/>
      <c r="D299" s="367"/>
      <c r="E299" s="367"/>
      <c r="F299" s="367"/>
      <c r="G299" s="367"/>
      <c r="H299" s="367"/>
      <c r="I299" s="367"/>
      <c r="J299" s="365"/>
      <c r="K299" s="365"/>
      <c r="L299" s="365"/>
      <c r="M299" s="365"/>
      <c r="N299" s="365"/>
      <c r="O299" s="244"/>
      <c r="P299" s="365"/>
      <c r="Q299" s="365"/>
      <c r="R299" s="393"/>
      <c r="S299" s="393"/>
      <c r="T299" s="393"/>
      <c r="U299" s="393"/>
      <c r="V299" s="393"/>
      <c r="W299" s="393"/>
      <c r="X299" s="393"/>
      <c r="Y299" s="393"/>
      <c r="Z299" s="393"/>
      <c r="AA299" s="393"/>
      <c r="AB299" s="393"/>
      <c r="AC299" s="393"/>
      <c r="AD299" s="393"/>
      <c r="AE299" s="393"/>
      <c r="AF299" s="393"/>
      <c r="AG299" s="393"/>
      <c r="AH299" s="393"/>
      <c r="AI299" s="393"/>
      <c r="AJ299" s="393"/>
      <c r="AK299" s="393"/>
      <c r="AL299" s="393"/>
      <c r="AM299" s="393"/>
    </row>
    <row r="300" spans="1:39" s="21" customFormat="1">
      <c r="A300" s="37"/>
      <c r="C300" s="367"/>
      <c r="D300" s="367"/>
      <c r="E300" s="367"/>
      <c r="F300" s="367"/>
      <c r="G300" s="367"/>
      <c r="H300" s="367"/>
      <c r="I300" s="367"/>
      <c r="J300" s="365"/>
      <c r="K300" s="365"/>
      <c r="L300" s="365"/>
      <c r="M300" s="365"/>
      <c r="N300" s="365"/>
      <c r="O300" s="244"/>
      <c r="P300" s="365"/>
      <c r="Q300" s="365"/>
      <c r="R300" s="393"/>
      <c r="S300" s="393"/>
      <c r="T300" s="393"/>
      <c r="U300" s="393"/>
      <c r="V300" s="393"/>
      <c r="W300" s="393"/>
      <c r="X300" s="393"/>
      <c r="Y300" s="393"/>
      <c r="Z300" s="393"/>
      <c r="AA300" s="393"/>
      <c r="AB300" s="393"/>
      <c r="AC300" s="393"/>
      <c r="AD300" s="393"/>
      <c r="AE300" s="393"/>
      <c r="AF300" s="393"/>
      <c r="AG300" s="393"/>
      <c r="AH300" s="393"/>
      <c r="AI300" s="393"/>
      <c r="AJ300" s="393"/>
      <c r="AK300" s="393"/>
      <c r="AL300" s="393"/>
      <c r="AM300" s="393"/>
    </row>
    <row r="301" spans="1:39" s="21" customFormat="1">
      <c r="A301" s="37"/>
      <c r="C301" s="367"/>
      <c r="D301" s="367"/>
      <c r="E301" s="367"/>
      <c r="F301" s="367"/>
      <c r="G301" s="367"/>
      <c r="H301" s="367"/>
      <c r="I301" s="367"/>
      <c r="J301" s="365"/>
      <c r="K301" s="365"/>
      <c r="L301" s="365"/>
      <c r="M301" s="365"/>
      <c r="N301" s="365"/>
      <c r="O301" s="244"/>
      <c r="P301" s="365"/>
      <c r="Q301" s="365"/>
      <c r="R301" s="393"/>
      <c r="S301" s="393"/>
      <c r="T301" s="393"/>
      <c r="U301" s="393"/>
      <c r="V301" s="393"/>
      <c r="W301" s="393"/>
      <c r="X301" s="393"/>
      <c r="Y301" s="393"/>
      <c r="Z301" s="393"/>
      <c r="AA301" s="393"/>
      <c r="AB301" s="393"/>
      <c r="AC301" s="393"/>
      <c r="AD301" s="393"/>
      <c r="AE301" s="393"/>
      <c r="AF301" s="393"/>
      <c r="AG301" s="393"/>
      <c r="AH301" s="393"/>
      <c r="AI301" s="393"/>
      <c r="AJ301" s="393"/>
      <c r="AK301" s="393"/>
      <c r="AL301" s="393"/>
      <c r="AM301" s="393"/>
    </row>
    <row r="302" spans="1:39" s="21" customFormat="1">
      <c r="A302" s="37"/>
      <c r="C302" s="367"/>
      <c r="D302" s="367"/>
      <c r="E302" s="367"/>
      <c r="F302" s="367"/>
      <c r="G302" s="367"/>
      <c r="H302" s="367"/>
      <c r="I302" s="367"/>
      <c r="J302" s="365"/>
      <c r="K302" s="365"/>
      <c r="L302" s="365"/>
      <c r="M302" s="365"/>
      <c r="N302" s="365"/>
      <c r="O302" s="244"/>
      <c r="P302" s="365"/>
      <c r="Q302" s="365"/>
      <c r="R302" s="393"/>
      <c r="S302" s="393"/>
      <c r="T302" s="393"/>
      <c r="U302" s="393"/>
      <c r="V302" s="393"/>
      <c r="W302" s="393"/>
      <c r="X302" s="393"/>
      <c r="Y302" s="393"/>
      <c r="Z302" s="393"/>
      <c r="AA302" s="393"/>
      <c r="AB302" s="393"/>
      <c r="AC302" s="393"/>
      <c r="AD302" s="393"/>
      <c r="AE302" s="393"/>
      <c r="AF302" s="393"/>
      <c r="AG302" s="393"/>
      <c r="AH302" s="393"/>
      <c r="AI302" s="393"/>
      <c r="AJ302" s="393"/>
      <c r="AK302" s="393"/>
      <c r="AL302" s="393"/>
      <c r="AM302" s="393"/>
    </row>
    <row r="303" spans="1:39" s="21" customFormat="1">
      <c r="A303" s="37"/>
      <c r="C303" s="367"/>
      <c r="D303" s="367"/>
      <c r="E303" s="367"/>
      <c r="F303" s="367"/>
      <c r="G303" s="367"/>
      <c r="H303" s="367"/>
      <c r="I303" s="367"/>
      <c r="J303" s="365"/>
      <c r="K303" s="365"/>
      <c r="L303" s="365"/>
      <c r="M303" s="365"/>
      <c r="N303" s="365"/>
      <c r="O303" s="244"/>
      <c r="P303" s="365"/>
      <c r="Q303" s="365"/>
      <c r="R303" s="393"/>
      <c r="S303" s="393"/>
      <c r="T303" s="393"/>
      <c r="U303" s="393"/>
      <c r="V303" s="393"/>
      <c r="W303" s="393"/>
      <c r="X303" s="393"/>
      <c r="Y303" s="393"/>
      <c r="Z303" s="393"/>
      <c r="AA303" s="393"/>
      <c r="AB303" s="393"/>
      <c r="AC303" s="393"/>
      <c r="AD303" s="393"/>
      <c r="AE303" s="393"/>
      <c r="AF303" s="393"/>
      <c r="AG303" s="393"/>
      <c r="AH303" s="393"/>
      <c r="AI303" s="393"/>
      <c r="AJ303" s="393"/>
      <c r="AK303" s="393"/>
      <c r="AL303" s="393"/>
      <c r="AM303" s="393"/>
    </row>
    <row r="304" spans="1:39" s="21" customFormat="1">
      <c r="A304" s="37"/>
      <c r="C304" s="367"/>
      <c r="D304" s="367"/>
      <c r="E304" s="367"/>
      <c r="F304" s="367"/>
      <c r="G304" s="367"/>
      <c r="H304" s="367"/>
      <c r="I304" s="367"/>
      <c r="J304" s="365"/>
      <c r="K304" s="365"/>
      <c r="L304" s="365"/>
      <c r="M304" s="365"/>
      <c r="N304" s="365"/>
      <c r="O304" s="244"/>
      <c r="P304" s="365"/>
      <c r="Q304" s="365"/>
      <c r="R304" s="393"/>
      <c r="S304" s="393"/>
      <c r="T304" s="393"/>
      <c r="U304" s="393"/>
      <c r="V304" s="393"/>
      <c r="W304" s="393"/>
      <c r="X304" s="393"/>
      <c r="Y304" s="393"/>
      <c r="Z304" s="393"/>
      <c r="AA304" s="393"/>
      <c r="AB304" s="393"/>
      <c r="AC304" s="393"/>
      <c r="AD304" s="393"/>
      <c r="AE304" s="393"/>
      <c r="AF304" s="393"/>
      <c r="AG304" s="393"/>
      <c r="AH304" s="393"/>
      <c r="AI304" s="393"/>
      <c r="AJ304" s="393"/>
      <c r="AK304" s="393"/>
      <c r="AL304" s="393"/>
      <c r="AM304" s="393"/>
    </row>
    <row r="305" spans="1:39" s="21" customFormat="1">
      <c r="A305" s="37"/>
      <c r="C305" s="367"/>
      <c r="D305" s="367"/>
      <c r="E305" s="367"/>
      <c r="F305" s="367"/>
      <c r="G305" s="367"/>
      <c r="H305" s="367"/>
      <c r="I305" s="367"/>
      <c r="J305" s="365"/>
      <c r="K305" s="365"/>
      <c r="L305" s="365"/>
      <c r="M305" s="365"/>
      <c r="N305" s="365"/>
      <c r="O305" s="244"/>
      <c r="P305" s="365"/>
      <c r="Q305" s="365"/>
      <c r="R305" s="393"/>
      <c r="S305" s="393"/>
      <c r="T305" s="393"/>
      <c r="U305" s="393"/>
      <c r="V305" s="393"/>
      <c r="W305" s="393"/>
      <c r="X305" s="393"/>
      <c r="Y305" s="393"/>
      <c r="Z305" s="393"/>
      <c r="AA305" s="393"/>
      <c r="AB305" s="393"/>
      <c r="AC305" s="393"/>
      <c r="AD305" s="393"/>
      <c r="AE305" s="393"/>
      <c r="AF305" s="393"/>
      <c r="AG305" s="393"/>
      <c r="AH305" s="393"/>
      <c r="AI305" s="393"/>
      <c r="AJ305" s="393"/>
      <c r="AK305" s="393"/>
      <c r="AL305" s="393"/>
      <c r="AM305" s="393"/>
    </row>
    <row r="306" spans="1:39" s="21" customFormat="1">
      <c r="A306" s="37"/>
      <c r="C306" s="367"/>
      <c r="D306" s="367"/>
      <c r="E306" s="367"/>
      <c r="F306" s="367"/>
      <c r="G306" s="367"/>
      <c r="H306" s="367"/>
      <c r="I306" s="367"/>
      <c r="J306" s="365"/>
      <c r="K306" s="365"/>
      <c r="L306" s="365"/>
      <c r="M306" s="365"/>
      <c r="N306" s="365"/>
      <c r="O306" s="244"/>
      <c r="P306" s="365"/>
      <c r="Q306" s="365"/>
      <c r="R306" s="393"/>
      <c r="S306" s="393"/>
      <c r="T306" s="393"/>
      <c r="U306" s="393"/>
      <c r="V306" s="393"/>
      <c r="W306" s="393"/>
      <c r="X306" s="393"/>
      <c r="Y306" s="393"/>
      <c r="Z306" s="393"/>
      <c r="AA306" s="393"/>
      <c r="AB306" s="393"/>
      <c r="AC306" s="393"/>
      <c r="AD306" s="393"/>
      <c r="AE306" s="393"/>
      <c r="AF306" s="393"/>
      <c r="AG306" s="393"/>
      <c r="AH306" s="393"/>
      <c r="AI306" s="393"/>
      <c r="AJ306" s="393"/>
      <c r="AK306" s="393"/>
      <c r="AL306" s="393"/>
      <c r="AM306" s="393"/>
    </row>
    <row r="307" spans="1:39" s="21" customFormat="1">
      <c r="A307" s="37"/>
      <c r="C307" s="367"/>
      <c r="D307" s="367"/>
      <c r="E307" s="367"/>
      <c r="F307" s="367"/>
      <c r="G307" s="367"/>
      <c r="H307" s="367"/>
      <c r="I307" s="367"/>
      <c r="J307" s="365"/>
      <c r="K307" s="365"/>
      <c r="L307" s="365"/>
      <c r="M307" s="365"/>
      <c r="N307" s="365"/>
      <c r="O307" s="244"/>
      <c r="P307" s="365"/>
      <c r="Q307" s="365"/>
      <c r="R307" s="393"/>
      <c r="S307" s="393"/>
      <c r="T307" s="393"/>
      <c r="U307" s="393"/>
      <c r="V307" s="393"/>
      <c r="W307" s="393"/>
      <c r="X307" s="393"/>
      <c r="Y307" s="393"/>
      <c r="Z307" s="393"/>
      <c r="AA307" s="393"/>
      <c r="AB307" s="393"/>
      <c r="AC307" s="393"/>
      <c r="AD307" s="393"/>
      <c r="AE307" s="393"/>
      <c r="AF307" s="393"/>
      <c r="AG307" s="393"/>
      <c r="AH307" s="393"/>
      <c r="AI307" s="393"/>
      <c r="AJ307" s="393"/>
      <c r="AK307" s="393"/>
      <c r="AL307" s="393"/>
      <c r="AM307" s="393"/>
    </row>
    <row r="308" spans="1:39" s="21" customFormat="1">
      <c r="A308" s="37"/>
      <c r="C308" s="367"/>
      <c r="D308" s="367"/>
      <c r="E308" s="367"/>
      <c r="F308" s="367"/>
      <c r="G308" s="367"/>
      <c r="H308" s="367"/>
      <c r="I308" s="367"/>
      <c r="J308" s="365"/>
      <c r="K308" s="365"/>
      <c r="L308" s="365"/>
      <c r="M308" s="365"/>
      <c r="N308" s="365"/>
      <c r="O308" s="244"/>
      <c r="P308" s="365"/>
      <c r="Q308" s="365"/>
      <c r="R308" s="393"/>
      <c r="S308" s="393"/>
      <c r="T308" s="393"/>
      <c r="U308" s="393"/>
      <c r="V308" s="393"/>
      <c r="W308" s="393"/>
      <c r="X308" s="393"/>
      <c r="Y308" s="393"/>
      <c r="Z308" s="393"/>
      <c r="AA308" s="393"/>
      <c r="AB308" s="393"/>
      <c r="AC308" s="393"/>
      <c r="AD308" s="393"/>
      <c r="AE308" s="393"/>
      <c r="AF308" s="393"/>
      <c r="AG308" s="393"/>
      <c r="AH308" s="393"/>
      <c r="AI308" s="393"/>
      <c r="AJ308" s="393"/>
      <c r="AK308" s="393"/>
      <c r="AL308" s="393"/>
      <c r="AM308" s="393"/>
    </row>
    <row r="309" spans="1:39" s="21" customFormat="1">
      <c r="A309" s="37"/>
      <c r="C309" s="367"/>
      <c r="D309" s="367"/>
      <c r="E309" s="367"/>
      <c r="F309" s="367"/>
      <c r="G309" s="367"/>
      <c r="H309" s="367"/>
      <c r="I309" s="367"/>
      <c r="J309" s="365"/>
      <c r="K309" s="365"/>
      <c r="L309" s="365"/>
      <c r="M309" s="365"/>
      <c r="N309" s="365"/>
      <c r="O309" s="244"/>
      <c r="P309" s="365"/>
      <c r="Q309" s="365"/>
      <c r="R309" s="393"/>
      <c r="S309" s="393"/>
      <c r="T309" s="393"/>
      <c r="U309" s="393"/>
      <c r="V309" s="393"/>
      <c r="W309" s="393"/>
      <c r="X309" s="393"/>
      <c r="Y309" s="393"/>
      <c r="Z309" s="393"/>
      <c r="AA309" s="393"/>
      <c r="AB309" s="393"/>
      <c r="AC309" s="393"/>
      <c r="AD309" s="393"/>
      <c r="AE309" s="393"/>
      <c r="AF309" s="393"/>
      <c r="AG309" s="393"/>
      <c r="AH309" s="393"/>
      <c r="AI309" s="393"/>
      <c r="AJ309" s="393"/>
      <c r="AK309" s="393"/>
      <c r="AL309" s="393"/>
      <c r="AM309" s="393"/>
    </row>
    <row r="310" spans="1:39" s="21" customFormat="1">
      <c r="A310" s="37"/>
      <c r="C310" s="367"/>
      <c r="D310" s="367"/>
      <c r="E310" s="367"/>
      <c r="F310" s="367"/>
      <c r="G310" s="367"/>
      <c r="H310" s="367"/>
      <c r="I310" s="367"/>
      <c r="J310" s="365"/>
      <c r="K310" s="365"/>
      <c r="L310" s="365"/>
      <c r="M310" s="365"/>
      <c r="N310" s="365"/>
      <c r="O310" s="244"/>
      <c r="P310" s="365"/>
      <c r="Q310" s="365"/>
      <c r="R310" s="393"/>
      <c r="S310" s="393"/>
      <c r="T310" s="393"/>
      <c r="U310" s="393"/>
      <c r="V310" s="393"/>
      <c r="W310" s="393"/>
      <c r="X310" s="393"/>
      <c r="Y310" s="393"/>
      <c r="Z310" s="393"/>
      <c r="AA310" s="393"/>
      <c r="AB310" s="393"/>
      <c r="AC310" s="393"/>
      <c r="AD310" s="393"/>
      <c r="AE310" s="393"/>
      <c r="AF310" s="393"/>
      <c r="AG310" s="393"/>
      <c r="AH310" s="393"/>
      <c r="AI310" s="393"/>
      <c r="AJ310" s="393"/>
      <c r="AK310" s="393"/>
      <c r="AL310" s="393"/>
      <c r="AM310" s="393"/>
    </row>
    <row r="311" spans="1:39" s="21" customFormat="1">
      <c r="A311" s="37"/>
      <c r="C311" s="367"/>
      <c r="D311" s="367"/>
      <c r="E311" s="367"/>
      <c r="F311" s="367"/>
      <c r="G311" s="367"/>
      <c r="H311" s="367"/>
      <c r="I311" s="367"/>
      <c r="J311" s="365"/>
      <c r="K311" s="365"/>
      <c r="L311" s="365"/>
      <c r="M311" s="365"/>
      <c r="N311" s="365"/>
      <c r="O311" s="244"/>
      <c r="P311" s="365"/>
      <c r="Q311" s="365"/>
      <c r="R311" s="393"/>
      <c r="S311" s="393"/>
      <c r="T311" s="393"/>
      <c r="U311" s="393"/>
      <c r="V311" s="393"/>
      <c r="W311" s="393"/>
      <c r="X311" s="393"/>
      <c r="Y311" s="393"/>
      <c r="Z311" s="393"/>
      <c r="AA311" s="393"/>
      <c r="AB311" s="393"/>
      <c r="AC311" s="393"/>
      <c r="AD311" s="393"/>
      <c r="AE311" s="393"/>
      <c r="AF311" s="393"/>
      <c r="AG311" s="393"/>
      <c r="AH311" s="393"/>
      <c r="AI311" s="393"/>
      <c r="AJ311" s="393"/>
      <c r="AK311" s="393"/>
      <c r="AL311" s="393"/>
      <c r="AM311" s="393"/>
    </row>
    <row r="312" spans="1:39" s="21" customFormat="1">
      <c r="A312" s="37"/>
      <c r="C312" s="367"/>
      <c r="D312" s="367"/>
      <c r="E312" s="367"/>
      <c r="F312" s="367"/>
      <c r="G312" s="367"/>
      <c r="H312" s="367"/>
      <c r="I312" s="367"/>
      <c r="J312" s="365"/>
      <c r="K312" s="365"/>
      <c r="L312" s="365"/>
      <c r="M312" s="365"/>
      <c r="N312" s="365"/>
      <c r="O312" s="244"/>
      <c r="P312" s="365"/>
      <c r="Q312" s="365"/>
      <c r="R312" s="393"/>
      <c r="S312" s="393"/>
      <c r="T312" s="393"/>
      <c r="U312" s="393"/>
      <c r="V312" s="393"/>
      <c r="W312" s="393"/>
      <c r="X312" s="393"/>
      <c r="Y312" s="393"/>
      <c r="Z312" s="393"/>
      <c r="AA312" s="393"/>
      <c r="AB312" s="393"/>
      <c r="AC312" s="393"/>
      <c r="AD312" s="393"/>
      <c r="AE312" s="393"/>
      <c r="AF312" s="393"/>
      <c r="AG312" s="393"/>
      <c r="AH312" s="393"/>
      <c r="AI312" s="393"/>
      <c r="AJ312" s="393"/>
      <c r="AK312" s="393"/>
      <c r="AL312" s="393"/>
      <c r="AM312" s="393"/>
    </row>
    <row r="313" spans="1:39" s="21" customFormat="1">
      <c r="A313" s="37"/>
      <c r="C313" s="367"/>
      <c r="D313" s="367"/>
      <c r="E313" s="367"/>
      <c r="F313" s="367"/>
      <c r="G313" s="367"/>
      <c r="H313" s="367"/>
      <c r="I313" s="367"/>
      <c r="J313" s="365"/>
      <c r="K313" s="365"/>
      <c r="L313" s="365"/>
      <c r="M313" s="365"/>
      <c r="N313" s="365"/>
      <c r="O313" s="244"/>
      <c r="P313" s="365"/>
      <c r="Q313" s="365"/>
      <c r="R313" s="393"/>
      <c r="S313" s="393"/>
      <c r="T313" s="393"/>
      <c r="U313" s="393"/>
      <c r="V313" s="393"/>
      <c r="W313" s="393"/>
      <c r="X313" s="393"/>
      <c r="Y313" s="393"/>
      <c r="Z313" s="393"/>
      <c r="AA313" s="393"/>
      <c r="AB313" s="393"/>
      <c r="AC313" s="393"/>
      <c r="AD313" s="393"/>
      <c r="AE313" s="393"/>
      <c r="AF313" s="393"/>
      <c r="AG313" s="393"/>
      <c r="AH313" s="393"/>
      <c r="AI313" s="393"/>
      <c r="AJ313" s="393"/>
      <c r="AK313" s="393"/>
      <c r="AL313" s="393"/>
      <c r="AM313" s="393"/>
    </row>
    <row r="314" spans="1:39" s="21" customFormat="1">
      <c r="A314" s="37"/>
      <c r="C314" s="367"/>
      <c r="D314" s="367"/>
      <c r="E314" s="367"/>
      <c r="F314" s="367"/>
      <c r="G314" s="367"/>
      <c r="H314" s="367"/>
      <c r="I314" s="367"/>
      <c r="J314" s="365"/>
      <c r="K314" s="365"/>
      <c r="L314" s="365"/>
      <c r="M314" s="365"/>
      <c r="N314" s="365"/>
      <c r="O314" s="244"/>
      <c r="P314" s="365"/>
      <c r="Q314" s="365"/>
      <c r="R314" s="393"/>
      <c r="S314" s="393"/>
      <c r="T314" s="393"/>
      <c r="U314" s="393"/>
      <c r="V314" s="393"/>
      <c r="W314" s="393"/>
      <c r="X314" s="393"/>
      <c r="Y314" s="393"/>
      <c r="Z314" s="393"/>
      <c r="AA314" s="393"/>
      <c r="AB314" s="393"/>
      <c r="AC314" s="393"/>
      <c r="AD314" s="393"/>
      <c r="AE314" s="393"/>
      <c r="AF314" s="393"/>
      <c r="AG314" s="393"/>
      <c r="AH314" s="393"/>
      <c r="AI314" s="393"/>
      <c r="AJ314" s="393"/>
      <c r="AK314" s="393"/>
      <c r="AL314" s="393"/>
      <c r="AM314" s="393"/>
    </row>
    <row r="315" spans="1:39" s="21" customFormat="1">
      <c r="A315" s="37"/>
      <c r="C315" s="367"/>
      <c r="D315" s="367"/>
      <c r="E315" s="367"/>
      <c r="F315" s="367"/>
      <c r="G315" s="367"/>
      <c r="H315" s="367"/>
      <c r="I315" s="367"/>
      <c r="J315" s="365"/>
      <c r="K315" s="365"/>
      <c r="L315" s="365"/>
      <c r="M315" s="365"/>
      <c r="N315" s="365"/>
      <c r="O315" s="244"/>
      <c r="P315" s="365"/>
      <c r="Q315" s="365"/>
      <c r="R315" s="393"/>
      <c r="S315" s="393"/>
      <c r="T315" s="393"/>
      <c r="U315" s="393"/>
      <c r="V315" s="393"/>
      <c r="W315" s="393"/>
      <c r="X315" s="393"/>
      <c r="Y315" s="393"/>
      <c r="Z315" s="393"/>
      <c r="AA315" s="393"/>
      <c r="AB315" s="393"/>
      <c r="AC315" s="393"/>
      <c r="AD315" s="393"/>
      <c r="AE315" s="393"/>
      <c r="AF315" s="393"/>
      <c r="AG315" s="393"/>
      <c r="AH315" s="393"/>
      <c r="AI315" s="393"/>
      <c r="AJ315" s="393"/>
      <c r="AK315" s="393"/>
      <c r="AL315" s="393"/>
      <c r="AM315" s="393"/>
    </row>
    <row r="316" spans="1:39" s="21" customFormat="1">
      <c r="A316" s="37"/>
      <c r="C316" s="367"/>
      <c r="D316" s="367"/>
      <c r="E316" s="367"/>
      <c r="F316" s="367"/>
      <c r="G316" s="367"/>
      <c r="H316" s="367"/>
      <c r="I316" s="367"/>
      <c r="J316" s="365"/>
      <c r="K316" s="365"/>
      <c r="L316" s="365"/>
      <c r="M316" s="365"/>
      <c r="N316" s="365"/>
      <c r="O316" s="244"/>
      <c r="P316" s="365"/>
      <c r="Q316" s="365"/>
      <c r="R316" s="393"/>
      <c r="S316" s="393"/>
      <c r="T316" s="393"/>
      <c r="U316" s="393"/>
      <c r="V316" s="393"/>
      <c r="W316" s="393"/>
      <c r="X316" s="393"/>
      <c r="Y316" s="393"/>
      <c r="Z316" s="393"/>
      <c r="AA316" s="393"/>
      <c r="AB316" s="393"/>
      <c r="AC316" s="393"/>
      <c r="AD316" s="393"/>
      <c r="AE316" s="393"/>
      <c r="AF316" s="393"/>
      <c r="AG316" s="393"/>
      <c r="AH316" s="393"/>
      <c r="AI316" s="393"/>
      <c r="AJ316" s="393"/>
      <c r="AK316" s="393"/>
      <c r="AL316" s="393"/>
      <c r="AM316" s="393"/>
    </row>
    <row r="317" spans="1:39" s="21" customFormat="1">
      <c r="A317" s="37"/>
      <c r="C317" s="367"/>
      <c r="D317" s="367"/>
      <c r="E317" s="367"/>
      <c r="F317" s="367"/>
      <c r="G317" s="367"/>
      <c r="H317" s="367"/>
      <c r="I317" s="367"/>
      <c r="J317" s="365"/>
      <c r="K317" s="365"/>
      <c r="L317" s="365"/>
      <c r="M317" s="365"/>
      <c r="N317" s="365"/>
      <c r="O317" s="244"/>
      <c r="P317" s="365"/>
      <c r="Q317" s="365"/>
      <c r="R317" s="393"/>
      <c r="S317" s="393"/>
      <c r="T317" s="393"/>
      <c r="U317" s="393"/>
      <c r="V317" s="393"/>
      <c r="W317" s="393"/>
      <c r="X317" s="393"/>
      <c r="Y317" s="393"/>
      <c r="Z317" s="393"/>
      <c r="AA317" s="393"/>
      <c r="AB317" s="393"/>
      <c r="AC317" s="393"/>
      <c r="AD317" s="393"/>
      <c r="AE317" s="393"/>
      <c r="AF317" s="393"/>
      <c r="AG317" s="393"/>
      <c r="AH317" s="393"/>
      <c r="AI317" s="393"/>
      <c r="AJ317" s="393"/>
      <c r="AK317" s="393"/>
      <c r="AL317" s="393"/>
      <c r="AM317" s="393"/>
    </row>
    <row r="318" spans="1:39" s="21" customFormat="1">
      <c r="A318" s="37"/>
      <c r="C318" s="367"/>
      <c r="D318" s="367"/>
      <c r="E318" s="367"/>
      <c r="F318" s="367"/>
      <c r="G318" s="367"/>
      <c r="H318" s="367"/>
      <c r="I318" s="367"/>
      <c r="J318" s="365"/>
      <c r="K318" s="365"/>
      <c r="L318" s="365"/>
      <c r="M318" s="365"/>
      <c r="N318" s="365"/>
      <c r="O318" s="244"/>
      <c r="P318" s="365"/>
      <c r="Q318" s="365"/>
      <c r="R318" s="393"/>
      <c r="S318" s="393"/>
      <c r="T318" s="393"/>
      <c r="U318" s="393"/>
      <c r="V318" s="393"/>
      <c r="W318" s="393"/>
      <c r="X318" s="393"/>
      <c r="Y318" s="393"/>
      <c r="Z318" s="393"/>
      <c r="AA318" s="393"/>
      <c r="AB318" s="393"/>
      <c r="AC318" s="393"/>
      <c r="AD318" s="393"/>
      <c r="AE318" s="393"/>
      <c r="AF318" s="393"/>
      <c r="AG318" s="393"/>
      <c r="AH318" s="393"/>
      <c r="AI318" s="393"/>
      <c r="AJ318" s="393"/>
      <c r="AK318" s="393"/>
      <c r="AL318" s="393"/>
      <c r="AM318" s="393"/>
    </row>
    <row r="319" spans="1:39" s="21" customFormat="1">
      <c r="A319" s="37"/>
      <c r="C319" s="367"/>
      <c r="D319" s="367"/>
      <c r="E319" s="367"/>
      <c r="F319" s="367"/>
      <c r="G319" s="367"/>
      <c r="H319" s="367"/>
      <c r="I319" s="367"/>
      <c r="J319" s="365"/>
      <c r="K319" s="365"/>
      <c r="L319" s="365"/>
      <c r="M319" s="365"/>
      <c r="N319" s="365"/>
      <c r="O319" s="244"/>
      <c r="P319" s="365"/>
      <c r="Q319" s="365"/>
      <c r="R319" s="393"/>
      <c r="S319" s="393"/>
      <c r="T319" s="393"/>
      <c r="U319" s="393"/>
      <c r="V319" s="393"/>
      <c r="W319" s="393"/>
      <c r="X319" s="393"/>
      <c r="Y319" s="393"/>
      <c r="Z319" s="393"/>
      <c r="AA319" s="393"/>
      <c r="AB319" s="393"/>
      <c r="AC319" s="393"/>
      <c r="AD319" s="393"/>
      <c r="AE319" s="393"/>
      <c r="AF319" s="393"/>
      <c r="AG319" s="393"/>
      <c r="AH319" s="393"/>
      <c r="AI319" s="393"/>
      <c r="AJ319" s="393"/>
      <c r="AK319" s="393"/>
      <c r="AL319" s="393"/>
      <c r="AM319" s="393"/>
    </row>
    <row r="320" spans="1:39" s="21" customFormat="1">
      <c r="A320" s="37"/>
      <c r="C320" s="367"/>
      <c r="D320" s="367"/>
      <c r="E320" s="367"/>
      <c r="F320" s="367"/>
      <c r="G320" s="367"/>
      <c r="H320" s="367"/>
      <c r="I320" s="367"/>
      <c r="J320" s="365"/>
      <c r="K320" s="365"/>
      <c r="L320" s="365"/>
      <c r="M320" s="365"/>
      <c r="N320" s="365"/>
      <c r="O320" s="244"/>
      <c r="P320" s="365"/>
      <c r="Q320" s="365"/>
      <c r="R320" s="393"/>
      <c r="S320" s="393"/>
      <c r="T320" s="393"/>
      <c r="U320" s="393"/>
      <c r="V320" s="393"/>
      <c r="W320" s="393"/>
      <c r="X320" s="393"/>
      <c r="Y320" s="393"/>
      <c r="Z320" s="393"/>
      <c r="AA320" s="393"/>
      <c r="AB320" s="393"/>
      <c r="AC320" s="393"/>
      <c r="AD320" s="393"/>
      <c r="AE320" s="393"/>
      <c r="AF320" s="393"/>
      <c r="AG320" s="393"/>
      <c r="AH320" s="393"/>
      <c r="AI320" s="393"/>
      <c r="AJ320" s="393"/>
      <c r="AK320" s="393"/>
      <c r="AL320" s="393"/>
      <c r="AM320" s="393"/>
    </row>
    <row r="321" spans="1:39" s="21" customFormat="1">
      <c r="A321" s="37"/>
      <c r="C321" s="367"/>
      <c r="D321" s="367"/>
      <c r="E321" s="367"/>
      <c r="F321" s="367"/>
      <c r="G321" s="367"/>
      <c r="H321" s="367"/>
      <c r="I321" s="367"/>
      <c r="J321" s="365"/>
      <c r="K321" s="365"/>
      <c r="L321" s="365"/>
      <c r="M321" s="365"/>
      <c r="N321" s="365"/>
      <c r="O321" s="244"/>
      <c r="P321" s="365"/>
      <c r="Q321" s="365"/>
      <c r="R321" s="393"/>
      <c r="S321" s="393"/>
      <c r="T321" s="393"/>
      <c r="U321" s="393"/>
      <c r="V321" s="393"/>
      <c r="W321" s="393"/>
      <c r="X321" s="393"/>
      <c r="Y321" s="393"/>
      <c r="Z321" s="393"/>
      <c r="AA321" s="393"/>
      <c r="AB321" s="393"/>
      <c r="AC321" s="393"/>
      <c r="AD321" s="393"/>
      <c r="AE321" s="393"/>
      <c r="AF321" s="393"/>
      <c r="AG321" s="393"/>
      <c r="AH321" s="393"/>
      <c r="AI321" s="393"/>
      <c r="AJ321" s="393"/>
      <c r="AK321" s="393"/>
      <c r="AL321" s="393"/>
      <c r="AM321" s="393"/>
    </row>
    <row r="322" spans="1:39" s="21" customFormat="1">
      <c r="A322" s="37"/>
      <c r="C322" s="367"/>
      <c r="D322" s="367"/>
      <c r="E322" s="367"/>
      <c r="F322" s="367"/>
      <c r="G322" s="367"/>
      <c r="H322" s="367"/>
      <c r="I322" s="367"/>
      <c r="J322" s="365"/>
      <c r="K322" s="365"/>
      <c r="L322" s="365"/>
      <c r="M322" s="365"/>
      <c r="N322" s="365"/>
      <c r="O322" s="244"/>
      <c r="P322" s="365"/>
      <c r="Q322" s="365"/>
      <c r="R322" s="393"/>
      <c r="S322" s="393"/>
      <c r="T322" s="393"/>
      <c r="U322" s="393"/>
      <c r="V322" s="393"/>
      <c r="W322" s="393"/>
      <c r="X322" s="393"/>
      <c r="Y322" s="393"/>
      <c r="Z322" s="393"/>
      <c r="AA322" s="393"/>
      <c r="AB322" s="393"/>
      <c r="AC322" s="393"/>
      <c r="AD322" s="393"/>
      <c r="AE322" s="393"/>
      <c r="AF322" s="393"/>
      <c r="AG322" s="393"/>
      <c r="AH322" s="393"/>
      <c r="AI322" s="393"/>
      <c r="AJ322" s="393"/>
      <c r="AK322" s="393"/>
      <c r="AL322" s="393"/>
      <c r="AM322" s="393"/>
    </row>
    <row r="323" spans="1:39" s="21" customFormat="1">
      <c r="A323" s="37"/>
      <c r="C323" s="367"/>
      <c r="D323" s="367"/>
      <c r="E323" s="367"/>
      <c r="F323" s="367"/>
      <c r="G323" s="367"/>
      <c r="H323" s="367"/>
      <c r="I323" s="367"/>
      <c r="J323" s="365"/>
      <c r="K323" s="365"/>
      <c r="L323" s="365"/>
      <c r="M323" s="365"/>
      <c r="N323" s="365"/>
      <c r="O323" s="244"/>
      <c r="P323" s="365"/>
      <c r="Q323" s="365"/>
      <c r="R323" s="393"/>
      <c r="S323" s="393"/>
      <c r="T323" s="393"/>
      <c r="U323" s="393"/>
      <c r="V323" s="393"/>
      <c r="W323" s="393"/>
      <c r="X323" s="393"/>
      <c r="Y323" s="393"/>
      <c r="Z323" s="393"/>
      <c r="AA323" s="393"/>
      <c r="AB323" s="393"/>
      <c r="AC323" s="393"/>
      <c r="AD323" s="393"/>
      <c r="AE323" s="393"/>
      <c r="AF323" s="393"/>
      <c r="AG323" s="393"/>
      <c r="AH323" s="393"/>
      <c r="AI323" s="393"/>
      <c r="AJ323" s="393"/>
      <c r="AK323" s="393"/>
      <c r="AL323" s="393"/>
      <c r="AM323" s="393"/>
    </row>
    <row r="324" spans="1:39" s="21" customFormat="1">
      <c r="A324" s="37"/>
      <c r="C324" s="367"/>
      <c r="D324" s="367"/>
      <c r="E324" s="367"/>
      <c r="F324" s="367"/>
      <c r="G324" s="367"/>
      <c r="H324" s="367"/>
      <c r="I324" s="367"/>
      <c r="J324" s="365"/>
      <c r="K324" s="365"/>
      <c r="L324" s="365"/>
      <c r="M324" s="365"/>
      <c r="N324" s="365"/>
      <c r="O324" s="244"/>
      <c r="P324" s="365"/>
      <c r="Q324" s="365"/>
      <c r="R324" s="393"/>
      <c r="S324" s="393"/>
      <c r="T324" s="393"/>
      <c r="U324" s="393"/>
      <c r="V324" s="393"/>
      <c r="W324" s="393"/>
      <c r="X324" s="393"/>
      <c r="Y324" s="393"/>
      <c r="Z324" s="393"/>
      <c r="AA324" s="393"/>
      <c r="AB324" s="393"/>
      <c r="AC324" s="393"/>
      <c r="AD324" s="393"/>
      <c r="AE324" s="393"/>
      <c r="AF324" s="393"/>
      <c r="AG324" s="393"/>
      <c r="AH324" s="393"/>
      <c r="AI324" s="393"/>
      <c r="AJ324" s="393"/>
      <c r="AK324" s="393"/>
      <c r="AL324" s="393"/>
      <c r="AM324" s="393"/>
    </row>
    <row r="325" spans="1:39" s="21" customFormat="1">
      <c r="A325" s="37"/>
      <c r="C325" s="367"/>
      <c r="D325" s="367"/>
      <c r="E325" s="367"/>
      <c r="F325" s="367"/>
      <c r="G325" s="367"/>
      <c r="H325" s="367"/>
      <c r="I325" s="367"/>
      <c r="J325" s="365"/>
      <c r="K325" s="365"/>
      <c r="L325" s="365"/>
      <c r="M325" s="365"/>
      <c r="N325" s="365"/>
      <c r="O325" s="244"/>
      <c r="P325" s="365"/>
      <c r="Q325" s="365"/>
      <c r="R325" s="393"/>
      <c r="S325" s="393"/>
      <c r="T325" s="393"/>
      <c r="U325" s="393"/>
      <c r="V325" s="393"/>
      <c r="W325" s="393"/>
      <c r="X325" s="393"/>
      <c r="Y325" s="393"/>
      <c r="Z325" s="393"/>
      <c r="AA325" s="393"/>
      <c r="AB325" s="393"/>
      <c r="AC325" s="393"/>
      <c r="AD325" s="393"/>
      <c r="AE325" s="393"/>
      <c r="AF325" s="393"/>
      <c r="AG325" s="393"/>
      <c r="AH325" s="393"/>
      <c r="AI325" s="393"/>
      <c r="AJ325" s="393"/>
      <c r="AK325" s="393"/>
      <c r="AL325" s="393"/>
      <c r="AM325" s="393"/>
    </row>
    <row r="326" spans="1:39" s="21" customFormat="1">
      <c r="A326" s="37"/>
      <c r="C326" s="367"/>
      <c r="D326" s="367"/>
      <c r="E326" s="367"/>
      <c r="F326" s="367"/>
      <c r="G326" s="367"/>
      <c r="H326" s="367"/>
      <c r="I326" s="367"/>
      <c r="J326" s="365"/>
      <c r="K326" s="365"/>
      <c r="L326" s="365"/>
      <c r="M326" s="365"/>
      <c r="N326" s="365"/>
      <c r="O326" s="244"/>
      <c r="P326" s="365"/>
      <c r="Q326" s="365"/>
      <c r="R326" s="393"/>
      <c r="S326" s="393"/>
      <c r="T326" s="393"/>
      <c r="U326" s="393"/>
      <c r="V326" s="393"/>
      <c r="W326" s="393"/>
      <c r="X326" s="393"/>
      <c r="Y326" s="393"/>
      <c r="Z326" s="393"/>
      <c r="AA326" s="393"/>
      <c r="AB326" s="393"/>
      <c r="AC326" s="393"/>
      <c r="AD326" s="393"/>
      <c r="AE326" s="393"/>
      <c r="AF326" s="393"/>
      <c r="AG326" s="393"/>
      <c r="AH326" s="393"/>
      <c r="AI326" s="393"/>
      <c r="AJ326" s="393"/>
      <c r="AK326" s="393"/>
      <c r="AL326" s="393"/>
      <c r="AM326" s="393"/>
    </row>
    <row r="327" spans="1:39" s="21" customFormat="1">
      <c r="A327" s="37"/>
      <c r="C327" s="367"/>
      <c r="D327" s="367"/>
      <c r="E327" s="367"/>
      <c r="F327" s="367"/>
      <c r="G327" s="367"/>
      <c r="H327" s="367"/>
      <c r="I327" s="367"/>
      <c r="J327" s="365"/>
      <c r="K327" s="365"/>
      <c r="L327" s="365"/>
      <c r="M327" s="365"/>
      <c r="N327" s="365"/>
      <c r="O327" s="244"/>
      <c r="P327" s="365"/>
      <c r="Q327" s="365"/>
      <c r="R327" s="393"/>
      <c r="S327" s="393"/>
      <c r="T327" s="393"/>
      <c r="U327" s="393"/>
      <c r="V327" s="393"/>
      <c r="W327" s="393"/>
      <c r="X327" s="393"/>
      <c r="Y327" s="393"/>
      <c r="Z327" s="393"/>
      <c r="AA327" s="393"/>
      <c r="AB327" s="393"/>
      <c r="AC327" s="393"/>
      <c r="AD327" s="393"/>
      <c r="AE327" s="393"/>
      <c r="AF327" s="393"/>
      <c r="AG327" s="393"/>
      <c r="AH327" s="393"/>
      <c r="AI327" s="393"/>
      <c r="AJ327" s="393"/>
      <c r="AK327" s="393"/>
      <c r="AL327" s="393"/>
      <c r="AM327" s="393"/>
    </row>
    <row r="328" spans="1:39" s="21" customFormat="1">
      <c r="A328" s="37"/>
      <c r="C328" s="367"/>
      <c r="D328" s="367"/>
      <c r="E328" s="367"/>
      <c r="F328" s="367"/>
      <c r="G328" s="367"/>
      <c r="H328" s="367"/>
      <c r="I328" s="367"/>
      <c r="J328" s="365"/>
      <c r="K328" s="365"/>
      <c r="L328" s="365"/>
      <c r="M328" s="365"/>
      <c r="N328" s="365"/>
      <c r="O328" s="244"/>
      <c r="P328" s="365"/>
      <c r="Q328" s="365"/>
      <c r="R328" s="393"/>
      <c r="S328" s="393"/>
      <c r="T328" s="393"/>
      <c r="U328" s="393"/>
      <c r="V328" s="393"/>
      <c r="W328" s="393"/>
      <c r="X328" s="393"/>
      <c r="Y328" s="393"/>
      <c r="Z328" s="393"/>
      <c r="AA328" s="393"/>
      <c r="AB328" s="393"/>
      <c r="AC328" s="393"/>
      <c r="AD328" s="393"/>
      <c r="AE328" s="393"/>
      <c r="AF328" s="393"/>
      <c r="AG328" s="393"/>
      <c r="AH328" s="393"/>
      <c r="AI328" s="393"/>
      <c r="AJ328" s="393"/>
      <c r="AK328" s="393"/>
      <c r="AL328" s="393"/>
      <c r="AM328" s="393"/>
    </row>
    <row r="329" spans="1:39" s="21" customFormat="1">
      <c r="A329" s="37"/>
      <c r="C329" s="367"/>
      <c r="D329" s="367"/>
      <c r="E329" s="367"/>
      <c r="F329" s="367"/>
      <c r="G329" s="367"/>
      <c r="H329" s="367"/>
      <c r="I329" s="367"/>
      <c r="J329" s="365"/>
      <c r="K329" s="365"/>
      <c r="L329" s="365"/>
      <c r="M329" s="365"/>
      <c r="N329" s="365"/>
      <c r="O329" s="244"/>
      <c r="P329" s="365"/>
      <c r="Q329" s="365"/>
      <c r="R329" s="393"/>
      <c r="S329" s="393"/>
      <c r="T329" s="393"/>
      <c r="U329" s="393"/>
      <c r="V329" s="393"/>
      <c r="W329" s="393"/>
      <c r="X329" s="393"/>
      <c r="Y329" s="393"/>
      <c r="Z329" s="393"/>
      <c r="AA329" s="393"/>
      <c r="AB329" s="393"/>
      <c r="AC329" s="393"/>
      <c r="AD329" s="393"/>
      <c r="AE329" s="393"/>
      <c r="AF329" s="393"/>
      <c r="AG329" s="393"/>
      <c r="AH329" s="393"/>
      <c r="AI329" s="393"/>
      <c r="AJ329" s="393"/>
      <c r="AK329" s="393"/>
      <c r="AL329" s="393"/>
      <c r="AM329" s="393"/>
    </row>
    <row r="330" spans="1:39" s="21" customFormat="1">
      <c r="A330" s="37"/>
      <c r="C330" s="367"/>
      <c r="D330" s="367"/>
      <c r="E330" s="367"/>
      <c r="F330" s="367"/>
      <c r="G330" s="367"/>
      <c r="H330" s="367"/>
      <c r="I330" s="367"/>
      <c r="J330" s="365"/>
      <c r="K330" s="365"/>
      <c r="L330" s="365"/>
      <c r="M330" s="365"/>
      <c r="N330" s="365"/>
      <c r="O330" s="244"/>
      <c r="P330" s="365"/>
      <c r="Q330" s="365"/>
      <c r="R330" s="393"/>
      <c r="S330" s="393"/>
      <c r="T330" s="393"/>
      <c r="U330" s="393"/>
      <c r="V330" s="393"/>
      <c r="W330" s="393"/>
      <c r="X330" s="393"/>
      <c r="Y330" s="393"/>
      <c r="Z330" s="393"/>
      <c r="AA330" s="393"/>
      <c r="AB330" s="393"/>
      <c r="AC330" s="393"/>
      <c r="AD330" s="393"/>
      <c r="AE330" s="393"/>
      <c r="AF330" s="393"/>
      <c r="AG330" s="393"/>
      <c r="AH330" s="393"/>
      <c r="AI330" s="393"/>
      <c r="AJ330" s="393"/>
      <c r="AK330" s="393"/>
      <c r="AL330" s="393"/>
      <c r="AM330" s="393"/>
    </row>
    <row r="331" spans="1:39" s="21" customFormat="1">
      <c r="A331" s="37"/>
      <c r="C331" s="367"/>
      <c r="D331" s="367"/>
      <c r="E331" s="367"/>
      <c r="F331" s="367"/>
      <c r="G331" s="367"/>
      <c r="H331" s="367"/>
      <c r="I331" s="367"/>
      <c r="J331" s="365"/>
      <c r="K331" s="365"/>
      <c r="L331" s="365"/>
      <c r="M331" s="365"/>
      <c r="N331" s="365"/>
      <c r="O331" s="244"/>
      <c r="P331" s="365"/>
      <c r="Q331" s="365"/>
      <c r="R331" s="393"/>
      <c r="S331" s="393"/>
      <c r="T331" s="393"/>
      <c r="U331" s="393"/>
      <c r="V331" s="393"/>
      <c r="W331" s="393"/>
      <c r="X331" s="393"/>
      <c r="Y331" s="393"/>
      <c r="Z331" s="393"/>
      <c r="AA331" s="393"/>
      <c r="AB331" s="393"/>
      <c r="AC331" s="393"/>
      <c r="AD331" s="393"/>
      <c r="AE331" s="393"/>
      <c r="AF331" s="393"/>
      <c r="AG331" s="393"/>
      <c r="AH331" s="393"/>
      <c r="AI331" s="393"/>
      <c r="AJ331" s="393"/>
      <c r="AK331" s="393"/>
      <c r="AL331" s="393"/>
      <c r="AM331" s="393"/>
    </row>
    <row r="332" spans="1:39" s="21" customFormat="1">
      <c r="A332" s="37"/>
      <c r="C332" s="367"/>
      <c r="D332" s="367"/>
      <c r="E332" s="367"/>
      <c r="F332" s="367"/>
      <c r="G332" s="367"/>
      <c r="H332" s="367"/>
      <c r="I332" s="367"/>
      <c r="J332" s="365"/>
      <c r="K332" s="365"/>
      <c r="L332" s="365"/>
      <c r="M332" s="365"/>
      <c r="N332" s="365"/>
      <c r="O332" s="244"/>
      <c r="P332" s="365"/>
      <c r="Q332" s="365"/>
      <c r="R332" s="393"/>
      <c r="S332" s="393"/>
      <c r="T332" s="393"/>
      <c r="U332" s="393"/>
      <c r="V332" s="393"/>
      <c r="W332" s="393"/>
      <c r="X332" s="393"/>
      <c r="Y332" s="393"/>
      <c r="Z332" s="393"/>
      <c r="AA332" s="393"/>
      <c r="AB332" s="393"/>
      <c r="AC332" s="393"/>
      <c r="AD332" s="393"/>
      <c r="AE332" s="393"/>
      <c r="AF332" s="393"/>
      <c r="AG332" s="393"/>
      <c r="AH332" s="393"/>
      <c r="AI332" s="393"/>
      <c r="AJ332" s="393"/>
      <c r="AK332" s="393"/>
      <c r="AL332" s="393"/>
      <c r="AM332" s="393"/>
    </row>
    <row r="333" spans="1:39" s="21" customFormat="1">
      <c r="A333" s="37"/>
      <c r="C333" s="367"/>
      <c r="D333" s="367"/>
      <c r="E333" s="367"/>
      <c r="F333" s="367"/>
      <c r="G333" s="367"/>
      <c r="H333" s="367"/>
      <c r="I333" s="367"/>
      <c r="J333" s="365"/>
      <c r="K333" s="365"/>
      <c r="L333" s="365"/>
      <c r="M333" s="365"/>
      <c r="N333" s="365"/>
      <c r="O333" s="244"/>
      <c r="P333" s="365"/>
      <c r="Q333" s="365"/>
      <c r="R333" s="393"/>
      <c r="S333" s="393"/>
      <c r="T333" s="393"/>
      <c r="U333" s="393"/>
      <c r="V333" s="393"/>
      <c r="W333" s="393"/>
      <c r="X333" s="393"/>
      <c r="Y333" s="393"/>
      <c r="Z333" s="393"/>
      <c r="AA333" s="393"/>
      <c r="AB333" s="393"/>
      <c r="AC333" s="393"/>
      <c r="AD333" s="393"/>
      <c r="AE333" s="393"/>
      <c r="AF333" s="393"/>
      <c r="AG333" s="393"/>
      <c r="AH333" s="393"/>
      <c r="AI333" s="393"/>
      <c r="AJ333" s="393"/>
      <c r="AK333" s="393"/>
      <c r="AL333" s="393"/>
      <c r="AM333" s="393"/>
    </row>
    <row r="334" spans="1:39" s="21" customFormat="1">
      <c r="A334" s="37"/>
      <c r="C334" s="367"/>
      <c r="D334" s="367"/>
      <c r="E334" s="367"/>
      <c r="F334" s="367"/>
      <c r="G334" s="367"/>
      <c r="H334" s="367"/>
      <c r="I334" s="367"/>
      <c r="J334" s="365"/>
      <c r="K334" s="365"/>
      <c r="L334" s="365"/>
      <c r="M334" s="365"/>
      <c r="N334" s="365"/>
      <c r="O334" s="244"/>
      <c r="P334" s="365"/>
      <c r="Q334" s="365"/>
      <c r="R334" s="393"/>
      <c r="S334" s="393"/>
      <c r="T334" s="393"/>
      <c r="U334" s="393"/>
      <c r="V334" s="393"/>
      <c r="W334" s="393"/>
      <c r="X334" s="393"/>
      <c r="Y334" s="393"/>
      <c r="Z334" s="393"/>
      <c r="AA334" s="393"/>
      <c r="AB334" s="393"/>
      <c r="AC334" s="393"/>
      <c r="AD334" s="393"/>
      <c r="AE334" s="393"/>
      <c r="AF334" s="393"/>
      <c r="AG334" s="393"/>
      <c r="AH334" s="393"/>
      <c r="AI334" s="393"/>
      <c r="AJ334" s="393"/>
      <c r="AK334" s="393"/>
      <c r="AL334" s="393"/>
      <c r="AM334" s="393"/>
    </row>
    <row r="335" spans="1:39" s="21" customFormat="1">
      <c r="A335" s="37"/>
      <c r="C335" s="367"/>
      <c r="D335" s="367"/>
      <c r="E335" s="367"/>
      <c r="F335" s="367"/>
      <c r="G335" s="367"/>
      <c r="H335" s="367"/>
      <c r="I335" s="367"/>
      <c r="J335" s="365"/>
      <c r="K335" s="365"/>
      <c r="L335" s="365"/>
      <c r="M335" s="365"/>
      <c r="N335" s="365"/>
      <c r="O335" s="244"/>
      <c r="P335" s="365"/>
      <c r="Q335" s="365"/>
      <c r="R335" s="393"/>
      <c r="S335" s="393"/>
      <c r="T335" s="393"/>
      <c r="U335" s="393"/>
      <c r="V335" s="393"/>
      <c r="W335" s="393"/>
      <c r="X335" s="393"/>
      <c r="Y335" s="393"/>
      <c r="Z335" s="393"/>
      <c r="AA335" s="393"/>
      <c r="AB335" s="393"/>
      <c r="AC335" s="393"/>
      <c r="AD335" s="393"/>
      <c r="AE335" s="393"/>
      <c r="AF335" s="393"/>
      <c r="AG335" s="393"/>
      <c r="AH335" s="393"/>
      <c r="AI335" s="393"/>
      <c r="AJ335" s="393"/>
      <c r="AK335" s="393"/>
      <c r="AL335" s="393"/>
      <c r="AM335" s="393"/>
    </row>
    <row r="336" spans="1:39" s="21" customFormat="1">
      <c r="A336" s="37"/>
      <c r="C336" s="367"/>
      <c r="D336" s="367"/>
      <c r="E336" s="367"/>
      <c r="F336" s="367"/>
      <c r="G336" s="367"/>
      <c r="H336" s="367"/>
      <c r="I336" s="367"/>
      <c r="J336" s="365"/>
      <c r="K336" s="365"/>
      <c r="L336" s="365"/>
      <c r="M336" s="365"/>
      <c r="N336" s="365"/>
      <c r="O336" s="244"/>
      <c r="P336" s="365"/>
      <c r="Q336" s="365"/>
      <c r="R336" s="393"/>
      <c r="S336" s="393"/>
      <c r="T336" s="393"/>
      <c r="U336" s="393"/>
      <c r="V336" s="393"/>
      <c r="W336" s="393"/>
      <c r="X336" s="393"/>
      <c r="Y336" s="393"/>
      <c r="Z336" s="393"/>
      <c r="AA336" s="393"/>
      <c r="AB336" s="393"/>
      <c r="AC336" s="393"/>
      <c r="AD336" s="393"/>
      <c r="AE336" s="393"/>
      <c r="AF336" s="393"/>
      <c r="AG336" s="393"/>
      <c r="AH336" s="393"/>
      <c r="AI336" s="393"/>
      <c r="AJ336" s="393"/>
      <c r="AK336" s="393"/>
      <c r="AL336" s="393"/>
      <c r="AM336" s="393"/>
    </row>
    <row r="337" spans="1:39" s="21" customFormat="1">
      <c r="A337" s="37"/>
      <c r="C337" s="367"/>
      <c r="D337" s="367"/>
      <c r="E337" s="367"/>
      <c r="F337" s="367"/>
      <c r="G337" s="367"/>
      <c r="H337" s="367"/>
      <c r="I337" s="367"/>
      <c r="J337" s="365"/>
      <c r="K337" s="365"/>
      <c r="L337" s="365"/>
      <c r="M337" s="365"/>
      <c r="N337" s="365"/>
      <c r="O337" s="244"/>
      <c r="P337" s="365"/>
      <c r="Q337" s="365"/>
      <c r="R337" s="393"/>
      <c r="S337" s="393"/>
      <c r="T337" s="393"/>
      <c r="U337" s="393"/>
      <c r="V337" s="393"/>
      <c r="W337" s="393"/>
      <c r="X337" s="393"/>
      <c r="Y337" s="393"/>
      <c r="Z337" s="393"/>
      <c r="AA337" s="393"/>
      <c r="AB337" s="393"/>
      <c r="AC337" s="393"/>
      <c r="AD337" s="393"/>
      <c r="AE337" s="393"/>
      <c r="AF337" s="393"/>
      <c r="AG337" s="393"/>
      <c r="AH337" s="393"/>
      <c r="AI337" s="393"/>
      <c r="AJ337" s="393"/>
      <c r="AK337" s="393"/>
      <c r="AL337" s="393"/>
      <c r="AM337" s="393"/>
    </row>
    <row r="338" spans="1:39" s="21" customFormat="1">
      <c r="A338" s="37"/>
      <c r="C338" s="367"/>
      <c r="D338" s="367"/>
      <c r="E338" s="367"/>
      <c r="F338" s="367"/>
      <c r="G338" s="367"/>
      <c r="H338" s="367"/>
      <c r="I338" s="367"/>
      <c r="J338" s="365"/>
      <c r="K338" s="365"/>
      <c r="L338" s="365"/>
      <c r="M338" s="365"/>
      <c r="N338" s="365"/>
      <c r="O338" s="244"/>
      <c r="P338" s="365"/>
      <c r="Q338" s="365"/>
      <c r="R338" s="393"/>
      <c r="S338" s="393"/>
      <c r="T338" s="393"/>
      <c r="U338" s="393"/>
      <c r="V338" s="393"/>
      <c r="W338" s="393"/>
      <c r="X338" s="393"/>
      <c r="Y338" s="393"/>
      <c r="Z338" s="393"/>
      <c r="AA338" s="393"/>
      <c r="AB338" s="393"/>
      <c r="AC338" s="393"/>
      <c r="AD338" s="393"/>
      <c r="AE338" s="393"/>
      <c r="AF338" s="393"/>
      <c r="AG338" s="393"/>
      <c r="AH338" s="393"/>
      <c r="AI338" s="393"/>
      <c r="AJ338" s="393"/>
      <c r="AK338" s="393"/>
      <c r="AL338" s="393"/>
      <c r="AM338" s="393"/>
    </row>
    <row r="339" spans="1:39" s="21" customFormat="1">
      <c r="A339" s="37"/>
      <c r="C339" s="367"/>
      <c r="D339" s="367"/>
      <c r="E339" s="367"/>
      <c r="F339" s="367"/>
      <c r="G339" s="367"/>
      <c r="H339" s="367"/>
      <c r="I339" s="367"/>
      <c r="J339" s="365"/>
      <c r="K339" s="365"/>
      <c r="L339" s="365"/>
      <c r="M339" s="365"/>
      <c r="N339" s="365"/>
      <c r="O339" s="244"/>
      <c r="P339" s="365"/>
      <c r="Q339" s="365"/>
      <c r="R339" s="393"/>
      <c r="S339" s="393"/>
      <c r="T339" s="393"/>
      <c r="U339" s="393"/>
      <c r="V339" s="393"/>
      <c r="W339" s="393"/>
      <c r="X339" s="393"/>
      <c r="Y339" s="393"/>
      <c r="Z339" s="393"/>
      <c r="AA339" s="393"/>
      <c r="AB339" s="393"/>
      <c r="AC339" s="393"/>
      <c r="AD339" s="393"/>
      <c r="AE339" s="393"/>
      <c r="AF339" s="393"/>
      <c r="AG339" s="393"/>
      <c r="AH339" s="393"/>
      <c r="AI339" s="393"/>
      <c r="AJ339" s="393"/>
      <c r="AK339" s="393"/>
      <c r="AL339" s="393"/>
      <c r="AM339" s="393"/>
    </row>
    <row r="340" spans="1:39" s="21" customFormat="1">
      <c r="A340" s="37"/>
      <c r="C340" s="367"/>
      <c r="D340" s="367"/>
      <c r="E340" s="367"/>
      <c r="F340" s="367"/>
      <c r="G340" s="367"/>
      <c r="H340" s="367"/>
      <c r="I340" s="367"/>
      <c r="J340" s="365"/>
      <c r="K340" s="365"/>
      <c r="L340" s="365"/>
      <c r="M340" s="365"/>
      <c r="N340" s="365"/>
      <c r="O340" s="244"/>
      <c r="P340" s="365"/>
      <c r="Q340" s="365"/>
      <c r="R340" s="393"/>
      <c r="S340" s="393"/>
      <c r="T340" s="393"/>
      <c r="U340" s="393"/>
      <c r="V340" s="393"/>
      <c r="W340" s="393"/>
      <c r="X340" s="393"/>
      <c r="Y340" s="393"/>
      <c r="Z340" s="393"/>
      <c r="AA340" s="393"/>
      <c r="AB340" s="393"/>
      <c r="AC340" s="393"/>
      <c r="AD340" s="393"/>
      <c r="AE340" s="393"/>
      <c r="AF340" s="393"/>
      <c r="AG340" s="393"/>
      <c r="AH340" s="393"/>
      <c r="AI340" s="393"/>
      <c r="AJ340" s="393"/>
      <c r="AK340" s="393"/>
      <c r="AL340" s="393"/>
      <c r="AM340" s="393"/>
    </row>
    <row r="341" spans="1:39" s="21" customFormat="1">
      <c r="A341" s="37"/>
      <c r="C341" s="367"/>
      <c r="D341" s="367"/>
      <c r="E341" s="367"/>
      <c r="F341" s="367"/>
      <c r="G341" s="367"/>
      <c r="H341" s="367"/>
      <c r="I341" s="367"/>
      <c r="J341" s="365"/>
      <c r="K341" s="365"/>
      <c r="L341" s="365"/>
      <c r="M341" s="365"/>
      <c r="N341" s="365"/>
      <c r="O341" s="244"/>
      <c r="P341" s="365"/>
      <c r="Q341" s="365"/>
      <c r="R341" s="393"/>
      <c r="S341" s="393"/>
      <c r="T341" s="393"/>
      <c r="U341" s="393"/>
      <c r="V341" s="393"/>
      <c r="W341" s="393"/>
      <c r="X341" s="393"/>
      <c r="Y341" s="393"/>
      <c r="Z341" s="393"/>
      <c r="AA341" s="393"/>
      <c r="AB341" s="393"/>
      <c r="AC341" s="393"/>
      <c r="AD341" s="393"/>
      <c r="AE341" s="393"/>
      <c r="AF341" s="393"/>
      <c r="AG341" s="393"/>
      <c r="AH341" s="393"/>
      <c r="AI341" s="393"/>
      <c r="AJ341" s="393"/>
      <c r="AK341" s="393"/>
      <c r="AL341" s="393"/>
      <c r="AM341" s="393"/>
    </row>
    <row r="342" spans="1:39" s="21" customFormat="1">
      <c r="A342" s="37"/>
      <c r="C342" s="367"/>
      <c r="D342" s="367"/>
      <c r="E342" s="367"/>
      <c r="F342" s="367"/>
      <c r="G342" s="367"/>
      <c r="H342" s="367"/>
      <c r="I342" s="367"/>
      <c r="J342" s="365"/>
      <c r="K342" s="365"/>
      <c r="L342" s="365"/>
      <c r="M342" s="365"/>
      <c r="N342" s="365"/>
      <c r="O342" s="244"/>
      <c r="P342" s="365"/>
      <c r="Q342" s="365"/>
      <c r="R342" s="393"/>
      <c r="S342" s="393"/>
      <c r="T342" s="393"/>
      <c r="U342" s="393"/>
      <c r="V342" s="393"/>
      <c r="W342" s="393"/>
      <c r="X342" s="393"/>
      <c r="Y342" s="393"/>
      <c r="Z342" s="393"/>
      <c r="AA342" s="393"/>
      <c r="AB342" s="393"/>
      <c r="AC342" s="393"/>
      <c r="AD342" s="393"/>
      <c r="AE342" s="393"/>
      <c r="AF342" s="393"/>
      <c r="AG342" s="393"/>
      <c r="AH342" s="393"/>
      <c r="AI342" s="393"/>
      <c r="AJ342" s="393"/>
      <c r="AK342" s="393"/>
      <c r="AL342" s="393"/>
      <c r="AM342" s="393"/>
    </row>
    <row r="343" spans="1:39" s="21" customFormat="1">
      <c r="A343" s="37"/>
      <c r="C343" s="367"/>
      <c r="D343" s="367"/>
      <c r="E343" s="367"/>
      <c r="F343" s="367"/>
      <c r="G343" s="367"/>
      <c r="H343" s="367"/>
      <c r="I343" s="367"/>
      <c r="J343" s="365"/>
      <c r="K343" s="365"/>
      <c r="L343" s="365"/>
      <c r="M343" s="365"/>
      <c r="N343" s="365"/>
      <c r="O343" s="244"/>
      <c r="P343" s="365"/>
      <c r="Q343" s="365"/>
      <c r="R343" s="393"/>
      <c r="S343" s="393"/>
      <c r="T343" s="393"/>
      <c r="U343" s="393"/>
      <c r="V343" s="393"/>
      <c r="W343" s="393"/>
      <c r="X343" s="393"/>
      <c r="Y343" s="393"/>
      <c r="Z343" s="393"/>
      <c r="AA343" s="393"/>
      <c r="AB343" s="393"/>
      <c r="AC343" s="393"/>
      <c r="AD343" s="393"/>
      <c r="AE343" s="393"/>
      <c r="AF343" s="393"/>
      <c r="AG343" s="393"/>
      <c r="AH343" s="393"/>
      <c r="AI343" s="393"/>
      <c r="AJ343" s="393"/>
      <c r="AK343" s="393"/>
      <c r="AL343" s="393"/>
      <c r="AM343" s="393"/>
    </row>
    <row r="344" spans="1:39" s="21" customFormat="1">
      <c r="A344" s="37"/>
      <c r="C344" s="367"/>
      <c r="D344" s="367"/>
      <c r="E344" s="367"/>
      <c r="F344" s="367"/>
      <c r="G344" s="367"/>
      <c r="H344" s="367"/>
      <c r="I344" s="367"/>
      <c r="J344" s="365"/>
      <c r="K344" s="365"/>
      <c r="L344" s="365"/>
      <c r="M344" s="365"/>
      <c r="N344" s="365"/>
      <c r="O344" s="244"/>
      <c r="P344" s="365"/>
      <c r="Q344" s="365"/>
      <c r="R344" s="393"/>
      <c r="S344" s="393"/>
      <c r="T344" s="393"/>
      <c r="U344" s="393"/>
      <c r="V344" s="393"/>
      <c r="W344" s="393"/>
      <c r="X344" s="393"/>
      <c r="Y344" s="393"/>
      <c r="Z344" s="393"/>
      <c r="AA344" s="393"/>
      <c r="AB344" s="393"/>
      <c r="AC344" s="393"/>
      <c r="AD344" s="393"/>
      <c r="AE344" s="393"/>
      <c r="AF344" s="393"/>
      <c r="AG344" s="393"/>
      <c r="AH344" s="393"/>
      <c r="AI344" s="393"/>
      <c r="AJ344" s="393"/>
      <c r="AK344" s="393"/>
      <c r="AL344" s="393"/>
      <c r="AM344" s="393"/>
    </row>
    <row r="345" spans="1:39" s="21" customFormat="1">
      <c r="A345" s="37"/>
      <c r="C345" s="367"/>
      <c r="D345" s="367"/>
      <c r="E345" s="367"/>
      <c r="F345" s="367"/>
      <c r="G345" s="367"/>
      <c r="H345" s="367"/>
      <c r="I345" s="367"/>
      <c r="J345" s="365"/>
      <c r="K345" s="365"/>
      <c r="L345" s="365"/>
      <c r="M345" s="365"/>
      <c r="N345" s="365"/>
      <c r="O345" s="244"/>
      <c r="P345" s="365"/>
      <c r="Q345" s="365"/>
      <c r="R345" s="393"/>
      <c r="S345" s="393"/>
      <c r="T345" s="393"/>
      <c r="U345" s="393"/>
      <c r="V345" s="393"/>
      <c r="W345" s="393"/>
      <c r="X345" s="393"/>
      <c r="Y345" s="393"/>
      <c r="Z345" s="393"/>
      <c r="AA345" s="393"/>
      <c r="AB345" s="393"/>
      <c r="AC345" s="393"/>
      <c r="AD345" s="393"/>
      <c r="AE345" s="393"/>
      <c r="AF345" s="393"/>
      <c r="AG345" s="393"/>
      <c r="AH345" s="393"/>
      <c r="AI345" s="393"/>
      <c r="AJ345" s="393"/>
      <c r="AK345" s="393"/>
      <c r="AL345" s="393"/>
      <c r="AM345" s="393"/>
    </row>
    <row r="346" spans="1:39" s="21" customFormat="1">
      <c r="A346" s="37"/>
      <c r="C346" s="367"/>
      <c r="D346" s="367"/>
      <c r="E346" s="367"/>
      <c r="F346" s="367"/>
      <c r="G346" s="367"/>
      <c r="H346" s="367"/>
      <c r="I346" s="367"/>
      <c r="J346" s="365"/>
      <c r="K346" s="365"/>
      <c r="L346" s="365"/>
      <c r="M346" s="365"/>
      <c r="N346" s="365"/>
      <c r="O346" s="244"/>
      <c r="P346" s="365"/>
      <c r="Q346" s="365"/>
      <c r="R346" s="393"/>
      <c r="S346" s="393"/>
      <c r="T346" s="393"/>
      <c r="U346" s="393"/>
      <c r="V346" s="393"/>
      <c r="W346" s="393"/>
      <c r="X346" s="393"/>
      <c r="Y346" s="393"/>
      <c r="Z346" s="393"/>
      <c r="AA346" s="393"/>
      <c r="AB346" s="393"/>
      <c r="AC346" s="393"/>
      <c r="AD346" s="393"/>
      <c r="AE346" s="393"/>
      <c r="AF346" s="393"/>
      <c r="AG346" s="393"/>
      <c r="AH346" s="393"/>
      <c r="AI346" s="393"/>
      <c r="AJ346" s="393"/>
      <c r="AK346" s="393"/>
      <c r="AL346" s="393"/>
      <c r="AM346" s="393"/>
    </row>
    <row r="347" spans="1:39" s="21" customFormat="1">
      <c r="A347" s="37"/>
      <c r="C347" s="367"/>
      <c r="D347" s="367"/>
      <c r="E347" s="367"/>
      <c r="F347" s="367"/>
      <c r="G347" s="367"/>
      <c r="H347" s="367"/>
      <c r="I347" s="367"/>
      <c r="J347" s="365"/>
      <c r="K347" s="365"/>
      <c r="L347" s="365"/>
      <c r="M347" s="365"/>
      <c r="N347" s="365"/>
      <c r="O347" s="244"/>
      <c r="P347" s="365"/>
      <c r="Q347" s="365"/>
      <c r="R347" s="393"/>
      <c r="S347" s="393"/>
      <c r="T347" s="393"/>
      <c r="U347" s="393"/>
      <c r="V347" s="393"/>
      <c r="W347" s="393"/>
      <c r="X347" s="393"/>
      <c r="Y347" s="393"/>
      <c r="Z347" s="393"/>
      <c r="AA347" s="393"/>
      <c r="AB347" s="393"/>
      <c r="AC347" s="393"/>
      <c r="AD347" s="393"/>
      <c r="AE347" s="393"/>
      <c r="AF347" s="393"/>
      <c r="AG347" s="393"/>
      <c r="AH347" s="393"/>
      <c r="AI347" s="393"/>
      <c r="AJ347" s="393"/>
      <c r="AK347" s="393"/>
      <c r="AL347" s="393"/>
      <c r="AM347" s="393"/>
    </row>
    <row r="348" spans="1:39" s="21" customFormat="1">
      <c r="A348" s="37"/>
      <c r="C348" s="367"/>
      <c r="D348" s="367"/>
      <c r="E348" s="367"/>
      <c r="F348" s="367"/>
      <c r="G348" s="367"/>
      <c r="H348" s="367"/>
      <c r="I348" s="367"/>
      <c r="J348" s="365"/>
      <c r="K348" s="365"/>
      <c r="L348" s="365"/>
      <c r="M348" s="365"/>
      <c r="N348" s="365"/>
      <c r="O348" s="244"/>
      <c r="P348" s="365"/>
      <c r="Q348" s="365"/>
      <c r="R348" s="393"/>
      <c r="S348" s="393"/>
      <c r="T348" s="393"/>
      <c r="U348" s="393"/>
      <c r="V348" s="393"/>
      <c r="W348" s="393"/>
      <c r="X348" s="393"/>
      <c r="Y348" s="393"/>
      <c r="Z348" s="393"/>
      <c r="AA348" s="393"/>
      <c r="AB348" s="393"/>
      <c r="AC348" s="393"/>
      <c r="AD348" s="393"/>
      <c r="AE348" s="393"/>
      <c r="AF348" s="393"/>
      <c r="AG348" s="393"/>
      <c r="AH348" s="393"/>
      <c r="AI348" s="393"/>
      <c r="AJ348" s="393"/>
      <c r="AK348" s="393"/>
      <c r="AL348" s="393"/>
      <c r="AM348" s="393"/>
    </row>
    <row r="349" spans="1:39" s="21" customFormat="1">
      <c r="A349" s="37"/>
      <c r="C349" s="367"/>
      <c r="D349" s="367"/>
      <c r="E349" s="367"/>
      <c r="F349" s="367"/>
      <c r="G349" s="367"/>
      <c r="H349" s="367"/>
      <c r="I349" s="367"/>
      <c r="J349" s="365"/>
      <c r="K349" s="365"/>
      <c r="L349" s="365"/>
      <c r="M349" s="365"/>
      <c r="N349" s="365"/>
      <c r="O349" s="244"/>
      <c r="P349" s="365"/>
      <c r="Q349" s="365"/>
      <c r="R349" s="393"/>
      <c r="S349" s="393"/>
      <c r="T349" s="393"/>
      <c r="U349" s="393"/>
      <c r="V349" s="393"/>
      <c r="W349" s="393"/>
      <c r="X349" s="393"/>
      <c r="Y349" s="393"/>
      <c r="Z349" s="393"/>
      <c r="AA349" s="393"/>
      <c r="AB349" s="393"/>
      <c r="AC349" s="393"/>
      <c r="AD349" s="393"/>
      <c r="AE349" s="393"/>
      <c r="AF349" s="393"/>
      <c r="AG349" s="393"/>
      <c r="AH349" s="393"/>
      <c r="AI349" s="393"/>
      <c r="AJ349" s="393"/>
      <c r="AK349" s="393"/>
      <c r="AL349" s="393"/>
      <c r="AM349" s="393"/>
    </row>
    <row r="350" spans="1:39" s="21" customFormat="1">
      <c r="A350" s="37"/>
      <c r="C350" s="367"/>
      <c r="D350" s="367"/>
      <c r="E350" s="367"/>
      <c r="F350" s="367"/>
      <c r="G350" s="367"/>
      <c r="H350" s="367"/>
      <c r="I350" s="367"/>
      <c r="J350" s="365"/>
      <c r="K350" s="365"/>
      <c r="L350" s="365"/>
      <c r="M350" s="365"/>
      <c r="N350" s="365"/>
      <c r="O350" s="244"/>
      <c r="P350" s="365"/>
      <c r="Q350" s="365"/>
      <c r="R350" s="365"/>
      <c r="S350" s="365"/>
      <c r="T350" s="365"/>
      <c r="U350" s="365"/>
      <c r="V350" s="365"/>
      <c r="W350" s="365"/>
      <c r="X350" s="365"/>
      <c r="Y350" s="365"/>
      <c r="Z350" s="365"/>
      <c r="AA350" s="365"/>
      <c r="AB350" s="365"/>
      <c r="AC350" s="365"/>
      <c r="AD350" s="365"/>
      <c r="AE350" s="365"/>
      <c r="AF350" s="365"/>
      <c r="AG350" s="365"/>
      <c r="AH350" s="365"/>
      <c r="AI350" s="365"/>
      <c r="AJ350" s="365"/>
      <c r="AK350" s="365"/>
      <c r="AL350" s="365"/>
      <c r="AM350" s="365"/>
    </row>
    <row r="351" spans="1:39" s="21" customFormat="1">
      <c r="A351" s="37"/>
      <c r="C351" s="367"/>
      <c r="D351" s="367"/>
      <c r="E351" s="367"/>
      <c r="F351" s="367"/>
      <c r="G351" s="367"/>
      <c r="H351" s="367"/>
      <c r="I351" s="367"/>
      <c r="J351" s="365"/>
      <c r="K351" s="365"/>
      <c r="L351" s="365"/>
      <c r="M351" s="365"/>
      <c r="N351" s="365"/>
      <c r="O351" s="244"/>
      <c r="P351" s="365"/>
      <c r="Q351" s="365"/>
      <c r="R351" s="365"/>
      <c r="S351" s="365"/>
      <c r="T351" s="365"/>
      <c r="U351" s="365"/>
      <c r="V351" s="365"/>
      <c r="W351" s="365"/>
      <c r="X351" s="365"/>
      <c r="Y351" s="365"/>
      <c r="Z351" s="365"/>
      <c r="AA351" s="365"/>
      <c r="AB351" s="365"/>
      <c r="AC351" s="365"/>
      <c r="AD351" s="365"/>
      <c r="AE351" s="365"/>
      <c r="AF351" s="365"/>
      <c r="AG351" s="365"/>
      <c r="AH351" s="365"/>
      <c r="AI351" s="365"/>
      <c r="AJ351" s="365"/>
      <c r="AK351" s="365"/>
      <c r="AL351" s="365"/>
      <c r="AM351" s="365"/>
    </row>
    <row r="352" spans="1:39" s="21" customFormat="1">
      <c r="A352" s="37"/>
      <c r="C352" s="367"/>
      <c r="D352" s="367"/>
      <c r="E352" s="367"/>
      <c r="F352" s="367"/>
      <c r="G352" s="367"/>
      <c r="H352" s="367"/>
      <c r="I352" s="367"/>
      <c r="J352" s="365"/>
      <c r="K352" s="365"/>
      <c r="L352" s="365"/>
      <c r="M352" s="365"/>
      <c r="N352" s="365"/>
      <c r="O352" s="244"/>
      <c r="P352" s="365"/>
      <c r="Q352" s="365"/>
      <c r="R352" s="365"/>
      <c r="S352" s="365"/>
      <c r="T352" s="365"/>
      <c r="U352" s="365"/>
      <c r="V352" s="365"/>
      <c r="W352" s="365"/>
      <c r="X352" s="365"/>
      <c r="Y352" s="365"/>
      <c r="Z352" s="365"/>
      <c r="AA352" s="365"/>
      <c r="AB352" s="365"/>
      <c r="AC352" s="365"/>
      <c r="AD352" s="365"/>
      <c r="AE352" s="365"/>
      <c r="AF352" s="365"/>
      <c r="AG352" s="365"/>
      <c r="AH352" s="365"/>
      <c r="AI352" s="365"/>
      <c r="AJ352" s="365"/>
      <c r="AK352" s="365"/>
      <c r="AL352" s="365"/>
      <c r="AM352" s="365"/>
    </row>
    <row r="353" spans="1:39" s="21" customFormat="1">
      <c r="A353" s="37"/>
      <c r="C353" s="367"/>
      <c r="D353" s="367"/>
      <c r="E353" s="367"/>
      <c r="F353" s="367"/>
      <c r="G353" s="367"/>
      <c r="H353" s="367"/>
      <c r="I353" s="367"/>
      <c r="J353" s="365"/>
      <c r="K353" s="365"/>
      <c r="L353" s="365"/>
      <c r="M353" s="365"/>
      <c r="N353" s="365"/>
      <c r="O353" s="244"/>
      <c r="P353" s="365"/>
      <c r="Q353" s="365"/>
      <c r="R353" s="365"/>
      <c r="S353" s="365"/>
      <c r="T353" s="365"/>
      <c r="U353" s="365"/>
      <c r="V353" s="365"/>
      <c r="W353" s="365"/>
      <c r="X353" s="365"/>
      <c r="Y353" s="365"/>
      <c r="Z353" s="365"/>
      <c r="AA353" s="365"/>
      <c r="AB353" s="365"/>
      <c r="AC353" s="365"/>
      <c r="AD353" s="365"/>
      <c r="AE353" s="365"/>
      <c r="AF353" s="365"/>
      <c r="AG353" s="365"/>
      <c r="AH353" s="365"/>
      <c r="AI353" s="365"/>
      <c r="AJ353" s="365"/>
      <c r="AK353" s="365"/>
      <c r="AL353" s="365"/>
      <c r="AM353" s="365"/>
    </row>
    <row r="354" spans="1:39" s="21" customFormat="1">
      <c r="A354" s="37"/>
      <c r="C354" s="367"/>
      <c r="D354" s="367"/>
      <c r="E354" s="367"/>
      <c r="F354" s="367"/>
      <c r="G354" s="367"/>
      <c r="H354" s="367"/>
      <c r="I354" s="367"/>
      <c r="J354" s="365"/>
      <c r="K354" s="365"/>
      <c r="L354" s="365"/>
      <c r="M354" s="365"/>
      <c r="N354" s="365"/>
      <c r="O354" s="244"/>
      <c r="P354" s="365"/>
      <c r="Q354" s="365"/>
      <c r="R354" s="365"/>
      <c r="S354" s="365"/>
      <c r="T354" s="365"/>
      <c r="U354" s="365"/>
      <c r="V354" s="365"/>
      <c r="W354" s="365"/>
      <c r="X354" s="365"/>
      <c r="Y354" s="365"/>
      <c r="Z354" s="365"/>
      <c r="AA354" s="365"/>
      <c r="AB354" s="365"/>
      <c r="AC354" s="365"/>
      <c r="AD354" s="365"/>
      <c r="AE354" s="365"/>
      <c r="AF354" s="365"/>
      <c r="AG354" s="365"/>
      <c r="AH354" s="365"/>
      <c r="AI354" s="365"/>
      <c r="AJ354" s="365"/>
      <c r="AK354" s="365"/>
      <c r="AL354" s="365"/>
      <c r="AM354" s="365"/>
    </row>
    <row r="355" spans="1:39" s="21" customFormat="1">
      <c r="A355" s="37"/>
      <c r="C355" s="367"/>
      <c r="D355" s="367"/>
      <c r="E355" s="367"/>
      <c r="F355" s="367"/>
      <c r="G355" s="367"/>
      <c r="H355" s="367"/>
      <c r="I355" s="367"/>
      <c r="J355" s="365"/>
      <c r="K355" s="365"/>
      <c r="L355" s="365"/>
      <c r="M355" s="365"/>
      <c r="N355" s="365"/>
      <c r="O355" s="244"/>
      <c r="P355" s="365"/>
      <c r="Q355" s="365"/>
      <c r="R355" s="365"/>
      <c r="S355" s="365"/>
      <c r="T355" s="365"/>
      <c r="U355" s="365"/>
      <c r="V355" s="365"/>
      <c r="W355" s="365"/>
      <c r="X355" s="365"/>
      <c r="Y355" s="365"/>
      <c r="Z355" s="365"/>
      <c r="AA355" s="365"/>
      <c r="AB355" s="365"/>
      <c r="AC355" s="365"/>
      <c r="AD355" s="365"/>
      <c r="AE355" s="365"/>
      <c r="AF355" s="365"/>
      <c r="AG355" s="365"/>
      <c r="AH355" s="365"/>
      <c r="AI355" s="365"/>
      <c r="AJ355" s="365"/>
      <c r="AK355" s="365"/>
      <c r="AL355" s="365"/>
      <c r="AM355" s="365"/>
    </row>
    <row r="356" spans="1:39" s="21" customFormat="1">
      <c r="A356" s="37"/>
      <c r="C356" s="367"/>
      <c r="D356" s="367"/>
      <c r="E356" s="367"/>
      <c r="F356" s="367"/>
      <c r="G356" s="367"/>
      <c r="H356" s="367"/>
      <c r="I356" s="367"/>
      <c r="J356" s="365"/>
      <c r="K356" s="365"/>
      <c r="L356" s="365"/>
      <c r="M356" s="365"/>
      <c r="N356" s="365"/>
      <c r="O356" s="244"/>
      <c r="P356" s="365"/>
      <c r="Q356" s="365"/>
      <c r="R356" s="365"/>
      <c r="S356" s="365"/>
      <c r="T356" s="365"/>
      <c r="U356" s="365"/>
      <c r="V356" s="365"/>
      <c r="W356" s="365"/>
      <c r="X356" s="365"/>
      <c r="Y356" s="365"/>
      <c r="Z356" s="365"/>
      <c r="AA356" s="365"/>
      <c r="AB356" s="365"/>
      <c r="AC356" s="365"/>
      <c r="AD356" s="365"/>
      <c r="AE356" s="365"/>
      <c r="AF356" s="365"/>
      <c r="AG356" s="365"/>
      <c r="AH356" s="365"/>
      <c r="AI356" s="365"/>
      <c r="AJ356" s="365"/>
      <c r="AK356" s="365"/>
      <c r="AL356" s="365"/>
      <c r="AM356" s="365"/>
    </row>
    <row r="357" spans="1:39" s="21" customFormat="1">
      <c r="A357" s="37"/>
      <c r="C357" s="367"/>
      <c r="D357" s="367"/>
      <c r="E357" s="367"/>
      <c r="F357" s="367"/>
      <c r="G357" s="367"/>
      <c r="H357" s="367"/>
      <c r="I357" s="367"/>
      <c r="J357" s="365"/>
      <c r="K357" s="365"/>
      <c r="L357" s="365"/>
      <c r="M357" s="365"/>
      <c r="N357" s="365"/>
      <c r="O357" s="244"/>
      <c r="P357" s="365"/>
      <c r="Q357" s="365"/>
      <c r="R357" s="365"/>
      <c r="S357" s="365"/>
      <c r="T357" s="365"/>
      <c r="U357" s="365"/>
      <c r="V357" s="365"/>
      <c r="W357" s="365"/>
      <c r="X357" s="365"/>
      <c r="Y357" s="365"/>
      <c r="Z357" s="365"/>
      <c r="AA357" s="365"/>
      <c r="AB357" s="365"/>
      <c r="AC357" s="365"/>
      <c r="AD357" s="365"/>
      <c r="AE357" s="365"/>
      <c r="AF357" s="365"/>
      <c r="AG357" s="365"/>
      <c r="AH357" s="365"/>
      <c r="AI357" s="365"/>
      <c r="AJ357" s="365"/>
      <c r="AK357" s="365"/>
      <c r="AL357" s="365"/>
      <c r="AM357" s="365"/>
    </row>
    <row r="358" spans="1:39" s="21" customFormat="1">
      <c r="A358" s="37"/>
      <c r="C358" s="367"/>
      <c r="D358" s="367"/>
      <c r="E358" s="367"/>
      <c r="F358" s="367"/>
      <c r="G358" s="367"/>
      <c r="H358" s="367"/>
      <c r="I358" s="367"/>
      <c r="J358" s="365"/>
      <c r="K358" s="365"/>
      <c r="L358" s="365"/>
      <c r="M358" s="365"/>
      <c r="N358" s="365"/>
      <c r="O358" s="244"/>
      <c r="P358" s="365"/>
      <c r="Q358" s="365"/>
      <c r="R358" s="365"/>
      <c r="S358" s="365"/>
      <c r="T358" s="365"/>
      <c r="U358" s="365"/>
      <c r="V358" s="365"/>
      <c r="W358" s="365"/>
      <c r="X358" s="365"/>
      <c r="Y358" s="365"/>
      <c r="Z358" s="365"/>
      <c r="AA358" s="365"/>
      <c r="AB358" s="365"/>
      <c r="AC358" s="365"/>
      <c r="AD358" s="365"/>
      <c r="AE358" s="365"/>
      <c r="AF358" s="365"/>
      <c r="AG358" s="365"/>
      <c r="AH358" s="365"/>
      <c r="AI358" s="365"/>
      <c r="AJ358" s="365"/>
      <c r="AK358" s="365"/>
      <c r="AL358" s="365"/>
      <c r="AM358" s="365"/>
    </row>
    <row r="359" spans="1:39" s="21" customFormat="1">
      <c r="A359" s="37"/>
      <c r="C359" s="367"/>
      <c r="D359" s="367"/>
      <c r="E359" s="367"/>
      <c r="F359" s="367"/>
      <c r="G359" s="367"/>
      <c r="H359" s="367"/>
      <c r="I359" s="367"/>
      <c r="J359" s="365"/>
      <c r="K359" s="365"/>
      <c r="L359" s="365"/>
      <c r="M359" s="365"/>
      <c r="N359" s="365"/>
      <c r="O359" s="244"/>
      <c r="P359" s="365"/>
      <c r="Q359" s="365"/>
      <c r="R359" s="365"/>
      <c r="S359" s="365"/>
      <c r="T359" s="365"/>
      <c r="U359" s="365"/>
      <c r="V359" s="365"/>
      <c r="W359" s="365"/>
      <c r="X359" s="365"/>
      <c r="Y359" s="365"/>
      <c r="Z359" s="365"/>
      <c r="AA359" s="365"/>
      <c r="AB359" s="365"/>
      <c r="AC359" s="365"/>
      <c r="AD359" s="365"/>
      <c r="AE359" s="365"/>
      <c r="AF359" s="365"/>
      <c r="AG359" s="365"/>
      <c r="AH359" s="365"/>
      <c r="AI359" s="365"/>
      <c r="AJ359" s="365"/>
      <c r="AK359" s="365"/>
      <c r="AL359" s="365"/>
      <c r="AM359" s="365"/>
    </row>
  </sheetData>
  <mergeCells count="29"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29:N129"/>
    <mergeCell ref="J3:J4"/>
    <mergeCell ref="K3:N3"/>
    <mergeCell ref="O3:O4"/>
    <mergeCell ref="P3:P4"/>
    <mergeCell ref="A6:N6"/>
    <mergeCell ref="P20:P21"/>
    <mergeCell ref="A120:N120"/>
    <mergeCell ref="A125:N125"/>
    <mergeCell ref="P24:P26"/>
    <mergeCell ref="P40:P41"/>
    <mergeCell ref="A107:N107"/>
    <mergeCell ref="A110:N110"/>
    <mergeCell ref="L134:N134"/>
    <mergeCell ref="C133:F133"/>
    <mergeCell ref="H133:J133"/>
    <mergeCell ref="C134:F134"/>
    <mergeCell ref="H134:J134"/>
    <mergeCell ref="L133:N133"/>
  </mergeCells>
  <pageMargins left="0.59055118110236227" right="0" top="0" bottom="0" header="0.19685039370078741" footer="0.11811023622047245"/>
  <pageSetup paperSize="9" scale="61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221"/>
  <sheetViews>
    <sheetView tabSelected="1" view="pageBreakPreview" zoomScale="90" zoomScaleNormal="60" zoomScaleSheetLayoutView="90" workbookViewId="0">
      <selection activeCell="I23" sqref="I23"/>
    </sheetView>
  </sheetViews>
  <sheetFormatPr defaultColWidth="9.140625" defaultRowHeight="18.75" outlineLevelRow="1"/>
  <cols>
    <col min="1" max="1" width="69.28515625" style="3" customWidth="1"/>
    <col min="2" max="2" width="9.7109375" style="21" customWidth="1"/>
    <col min="3" max="5" width="18" style="21" customWidth="1"/>
    <col min="6" max="9" width="16.7109375" style="3" customWidth="1"/>
    <col min="10" max="10" width="16.85546875" style="3" customWidth="1"/>
    <col min="11" max="11" width="10" style="3" customWidth="1"/>
    <col min="12" max="16384" width="9.140625" style="3"/>
  </cols>
  <sheetData>
    <row r="1" spans="1:10" ht="20.100000000000001" customHeight="1">
      <c r="B1" s="3"/>
      <c r="C1" s="3"/>
      <c r="D1" s="3"/>
      <c r="E1" s="3"/>
    </row>
    <row r="2" spans="1:10" ht="20.100000000000001" hidden="1" customHeight="1" outlineLevel="1">
      <c r="B2" s="3"/>
      <c r="C2" s="3"/>
      <c r="D2" s="3"/>
      <c r="E2" s="3"/>
    </row>
    <row r="3" spans="1:10" ht="20.100000000000001" hidden="1" customHeight="1" outlineLevel="1">
      <c r="B3" s="3"/>
      <c r="C3" s="3"/>
      <c r="D3" s="3"/>
      <c r="E3" s="3"/>
    </row>
    <row r="4" spans="1:10" ht="20.100000000000001" hidden="1" customHeight="1" outlineLevel="1">
      <c r="B4" s="3"/>
      <c r="C4" s="3"/>
      <c r="D4" s="3"/>
      <c r="E4" s="3"/>
    </row>
    <row r="5" spans="1:10" ht="19.7" hidden="1" customHeight="1" outlineLevel="1">
      <c r="A5" s="51"/>
      <c r="B5" s="3"/>
    </row>
    <row r="6" spans="1:10" collapsed="1">
      <c r="A6" s="551" t="s">
        <v>253</v>
      </c>
      <c r="B6" s="551"/>
      <c r="C6" s="551"/>
      <c r="D6" s="551"/>
      <c r="E6" s="551"/>
      <c r="F6" s="551"/>
      <c r="G6" s="551"/>
      <c r="H6" s="551"/>
      <c r="I6" s="551"/>
      <c r="J6" s="551"/>
    </row>
    <row r="7" spans="1:10">
      <c r="A7" s="552" t="s">
        <v>407</v>
      </c>
      <c r="B7" s="552"/>
      <c r="C7" s="552"/>
      <c r="D7" s="552"/>
      <c r="E7" s="552"/>
      <c r="F7" s="552"/>
      <c r="G7" s="552"/>
      <c r="H7" s="552"/>
      <c r="I7" s="552"/>
      <c r="J7" s="552"/>
    </row>
    <row r="8" spans="1:10">
      <c r="A8" s="551" t="s">
        <v>419</v>
      </c>
      <c r="B8" s="551"/>
      <c r="C8" s="551"/>
      <c r="D8" s="551"/>
      <c r="E8" s="551"/>
      <c r="F8" s="551"/>
      <c r="G8" s="551"/>
      <c r="H8" s="551"/>
      <c r="I8" s="551"/>
      <c r="J8" s="551"/>
    </row>
    <row r="9" spans="1:10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.75" customHeight="1">
      <c r="A10" s="551" t="s">
        <v>170</v>
      </c>
      <c r="B10" s="551"/>
      <c r="C10" s="551"/>
      <c r="D10" s="551"/>
      <c r="E10" s="551"/>
      <c r="F10" s="551"/>
      <c r="G10" s="551"/>
      <c r="H10" s="551"/>
      <c r="I10" s="551"/>
      <c r="J10" s="551"/>
    </row>
    <row r="11" spans="1:10" ht="12" customHeight="1">
      <c r="B11" s="23"/>
      <c r="C11" s="4"/>
      <c r="D11" s="4"/>
      <c r="E11" s="4"/>
      <c r="F11" s="23"/>
      <c r="G11" s="23"/>
      <c r="H11" s="23"/>
      <c r="I11" s="23"/>
      <c r="J11" s="23"/>
    </row>
    <row r="12" spans="1:10" ht="31.5" customHeight="1">
      <c r="A12" s="555" t="s">
        <v>196</v>
      </c>
      <c r="B12" s="556" t="s">
        <v>7</v>
      </c>
      <c r="C12" s="563" t="s">
        <v>17</v>
      </c>
      <c r="D12" s="563" t="s">
        <v>287</v>
      </c>
      <c r="E12" s="563" t="s">
        <v>283</v>
      </c>
      <c r="F12" s="556" t="s">
        <v>117</v>
      </c>
      <c r="G12" s="556" t="s">
        <v>284</v>
      </c>
      <c r="H12" s="556"/>
      <c r="I12" s="556"/>
      <c r="J12" s="556"/>
    </row>
    <row r="13" spans="1:10" ht="54.75" customHeight="1">
      <c r="A13" s="555"/>
      <c r="B13" s="556"/>
      <c r="C13" s="564"/>
      <c r="D13" s="567"/>
      <c r="E13" s="567"/>
      <c r="F13" s="556"/>
      <c r="G13" s="15" t="s">
        <v>155</v>
      </c>
      <c r="H13" s="15" t="s">
        <v>156</v>
      </c>
      <c r="I13" s="15" t="s">
        <v>157</v>
      </c>
      <c r="J13" s="15" t="s">
        <v>61</v>
      </c>
    </row>
    <row r="14" spans="1:10" ht="20.100000000000001" customHeight="1">
      <c r="A14" s="6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</row>
    <row r="15" spans="1:10" ht="24.95" customHeight="1">
      <c r="A15" s="562" t="s">
        <v>87</v>
      </c>
      <c r="B15" s="562"/>
      <c r="C15" s="562"/>
      <c r="D15" s="562"/>
      <c r="E15" s="562"/>
      <c r="F15" s="562"/>
      <c r="G15" s="562"/>
      <c r="H15" s="562"/>
      <c r="I15" s="562"/>
      <c r="J15" s="562"/>
    </row>
    <row r="16" spans="1:10" ht="20.100000000000001" customHeight="1">
      <c r="A16" s="57" t="s">
        <v>171</v>
      </c>
      <c r="B16" s="6">
        <f>'1.Фінансовий результат'!B33</f>
        <v>1040</v>
      </c>
      <c r="C16" s="12">
        <f>'1.Фінансовий результат'!C33</f>
        <v>41668.800000000003</v>
      </c>
      <c r="D16" s="12">
        <f>'1.Фінансовий результат'!D33</f>
        <v>55832.999999999993</v>
      </c>
      <c r="E16" s="12">
        <f>'1.Фінансовий результат'!E33</f>
        <v>61115</v>
      </c>
      <c r="F16" s="12">
        <f>'1.Фінансовий результат'!F33</f>
        <v>96345.5</v>
      </c>
      <c r="G16" s="12">
        <f>'1.Фінансовий результат'!G33</f>
        <v>17042.099999999999</v>
      </c>
      <c r="H16" s="12">
        <f>'1.Фінансовий результат'!H33</f>
        <v>21158.100000000002</v>
      </c>
      <c r="I16" s="12">
        <f>'1.Фінансовий результат'!I33</f>
        <v>26698.499999999996</v>
      </c>
      <c r="J16" s="12">
        <f>'1.Фінансовий результат'!J33</f>
        <v>31446.800000000003</v>
      </c>
    </row>
    <row r="17" spans="1:10" ht="20.100000000000001" customHeight="1">
      <c r="A17" s="57" t="s">
        <v>144</v>
      </c>
      <c r="B17" s="6">
        <f>'1.Фінансовий результат'!B34</f>
        <v>1050</v>
      </c>
      <c r="C17" s="12">
        <f>'1.Фінансовий результат'!C34</f>
        <v>41112.919000000002</v>
      </c>
      <c r="D17" s="12">
        <f>'1.Фінансовий результат'!D34</f>
        <v>53057.5</v>
      </c>
      <c r="E17" s="12">
        <f>'1.Фінансовий результат'!E34</f>
        <v>58135.200000000004</v>
      </c>
      <c r="F17" s="12">
        <f>'1.Фінансовий результат'!F34</f>
        <v>91729.099999999977</v>
      </c>
      <c r="G17" s="12">
        <f>'1.Фінансовий результат'!G34</f>
        <v>15567.7</v>
      </c>
      <c r="H17" s="12">
        <f>'1.Фінансовий результат'!H34</f>
        <v>17966.3</v>
      </c>
      <c r="I17" s="12">
        <f>'1.Фінансовий результат'!I34</f>
        <v>26837.1</v>
      </c>
      <c r="J17" s="12">
        <f>'1.Фінансовий результат'!J34</f>
        <v>31358</v>
      </c>
    </row>
    <row r="18" spans="1:10" ht="37.700000000000003" customHeight="1">
      <c r="A18" s="58" t="s">
        <v>207</v>
      </c>
      <c r="B18" s="71">
        <f>'1.Фінансовий результат'!B76</f>
        <v>1060</v>
      </c>
      <c r="C18" s="90">
        <f>'1.Фінансовий результат'!C76</f>
        <v>555.88100000000122</v>
      </c>
      <c r="D18" s="90">
        <f>'1.Фінансовий результат'!D76</f>
        <v>2775.4999999999927</v>
      </c>
      <c r="E18" s="90">
        <f>'1.Фінансовий результат'!E76</f>
        <v>2979.7999999999956</v>
      </c>
      <c r="F18" s="90">
        <f>'1.Фінансовий результат'!F76</f>
        <v>4616.4000000000233</v>
      </c>
      <c r="G18" s="90">
        <f>'1.Фінансовий результат'!G76</f>
        <v>1474.3999999999978</v>
      </c>
      <c r="H18" s="90">
        <f>'1.Фінансовий результат'!H76</f>
        <v>3191.8000000000029</v>
      </c>
      <c r="I18" s="90">
        <f>'1.Фінансовий результат'!I76</f>
        <v>-138.60000000000218</v>
      </c>
      <c r="J18" s="90">
        <f>'1.Фінансовий результат'!J76</f>
        <v>88.80000000000291</v>
      </c>
    </row>
    <row r="19" spans="1:10" ht="20.100000000000001" customHeight="1">
      <c r="A19" s="57" t="s">
        <v>254</v>
      </c>
      <c r="B19" s="6">
        <f>'1.Фінансовий результат'!B77</f>
        <v>1070</v>
      </c>
      <c r="C19" s="12">
        <f>'1.Фінансовий результат'!C77</f>
        <v>416.5</v>
      </c>
      <c r="D19" s="12">
        <f>'1.Фінансовий результат'!D77</f>
        <v>16.2</v>
      </c>
      <c r="E19" s="12">
        <f>'1.Фінансовий результат'!E77</f>
        <v>100.3</v>
      </c>
      <c r="F19" s="98">
        <f>SUM(G19:J19)</f>
        <v>2921.2000000000003</v>
      </c>
      <c r="G19" s="12">
        <f>'1.Фінансовий результат'!G77</f>
        <v>999.8</v>
      </c>
      <c r="H19" s="12">
        <f>'1.Фінансовий результат'!H77</f>
        <v>773.7</v>
      </c>
      <c r="I19" s="12">
        <f>'1.Фінансовий результат'!I77</f>
        <v>576.29999999999995</v>
      </c>
      <c r="J19" s="12">
        <f>'1.Фінансовий результат'!J77</f>
        <v>571.4</v>
      </c>
    </row>
    <row r="20" spans="1:10" ht="20.100000000000001" customHeight="1">
      <c r="A20" s="57" t="s">
        <v>121</v>
      </c>
      <c r="B20" s="6">
        <f>'1.Фінансовий результат'!B82</f>
        <v>1080</v>
      </c>
      <c r="C20" s="12">
        <f>'1.Фінансовий результат'!C82</f>
        <v>1180</v>
      </c>
      <c r="D20" s="12">
        <f>'1.Фінансовий результат'!D82</f>
        <v>1600</v>
      </c>
      <c r="E20" s="12">
        <f>'1.Фінансовий результат'!E82</f>
        <v>1556.1</v>
      </c>
      <c r="F20" s="12">
        <f>'1.Фінансовий результат'!F82</f>
        <v>1979.4999999999998</v>
      </c>
      <c r="G20" s="12">
        <f>'1.Фінансовий результат'!G82</f>
        <v>474.20000000000005</v>
      </c>
      <c r="H20" s="12">
        <f>'1.Фінансовий результат'!H82</f>
        <v>536.70000000000005</v>
      </c>
      <c r="I20" s="12">
        <f>'1.Фінансовий результат'!I82</f>
        <v>393.70000000000005</v>
      </c>
      <c r="J20" s="12">
        <f>'1.Фінансовий результат'!J82</f>
        <v>574.90000000000009</v>
      </c>
    </row>
    <row r="21" spans="1:10" ht="20.100000000000001" customHeight="1">
      <c r="A21" s="57" t="s">
        <v>118</v>
      </c>
      <c r="B21" s="6">
        <f>'1.Фінансовий результат'!B113</f>
        <v>1110</v>
      </c>
      <c r="C21" s="12">
        <f>'1.Фінансовий результат'!C113</f>
        <v>0</v>
      </c>
      <c r="D21" s="12">
        <f>'1.Фінансовий результат'!D113</f>
        <v>0</v>
      </c>
      <c r="E21" s="12">
        <f>'1.Фінансовий результат'!E113</f>
        <v>1517.1</v>
      </c>
      <c r="F21" s="12">
        <f>'1.Фінансовий результат'!F113</f>
        <v>2620.6</v>
      </c>
      <c r="G21" s="12">
        <f>'1.Фінансовий результат'!G113</f>
        <v>793.3</v>
      </c>
      <c r="H21" s="12">
        <f>'1.Фінансовий результат'!H113</f>
        <v>709.1</v>
      </c>
      <c r="I21" s="12">
        <f>'1.Фінансовий результат'!I113</f>
        <v>570</v>
      </c>
      <c r="J21" s="12">
        <f>'1.Фінансовий результат'!J113</f>
        <v>565</v>
      </c>
    </row>
    <row r="22" spans="1:10" ht="20.100000000000001" customHeight="1">
      <c r="A22" s="57" t="s">
        <v>15</v>
      </c>
      <c r="B22" s="6">
        <f>'1.Фінансовий результат'!B122</f>
        <v>1120</v>
      </c>
      <c r="C22" s="12">
        <f>'1.Фінансовий результат'!C122</f>
        <v>0</v>
      </c>
      <c r="D22" s="12">
        <f>'1.Фінансовий результат'!D122</f>
        <v>6.9</v>
      </c>
      <c r="E22" s="12">
        <f>'1.Фінансовий результат'!E122</f>
        <v>6.9</v>
      </c>
      <c r="F22" s="12">
        <f>'1.Фінансовий результат'!F122</f>
        <v>16.3</v>
      </c>
      <c r="G22" s="12">
        <f>'1.Фінансовий результат'!G122</f>
        <v>0</v>
      </c>
      <c r="H22" s="12">
        <f>'1.Фінансовий результат'!H122</f>
        <v>4.8999999999999995</v>
      </c>
      <c r="I22" s="12">
        <f>'1.Фінансовий результат'!I122</f>
        <v>5.7</v>
      </c>
      <c r="J22" s="12">
        <f>'1.Фінансовий результат'!J122</f>
        <v>5.7</v>
      </c>
    </row>
    <row r="23" spans="1:10" ht="38.25" customHeight="1">
      <c r="A23" s="83" t="s">
        <v>258</v>
      </c>
      <c r="B23" s="84">
        <f>'1.Фінансовий результат'!B139</f>
        <v>1130</v>
      </c>
      <c r="C23" s="91">
        <f>'1.Фінансовий результат'!C139</f>
        <v>-207.61899999999878</v>
      </c>
      <c r="D23" s="91">
        <f>'1.Фінансовий результат'!D139</f>
        <v>1184.7999999999925</v>
      </c>
      <c r="E23" s="91">
        <f>'1.Фінансовий результат'!E139</f>
        <v>-4.0021319591687643E-12</v>
      </c>
      <c r="F23" s="91">
        <f>'1.Фінансовий результат'!F139</f>
        <v>2.3646862246096134E-11</v>
      </c>
      <c r="G23" s="91">
        <f>'1.Фінансовий результат'!G139</f>
        <v>206.89999999999804</v>
      </c>
      <c r="H23" s="91">
        <f>'1.Фінансовий результат'!H139</f>
        <v>1941.1000000000029</v>
      </c>
      <c r="I23" s="91">
        <f>'1.Фінансовий результат'!I139</f>
        <v>-1108.0000000000023</v>
      </c>
      <c r="J23" s="91">
        <f>'1.Фінансовий результат'!J139</f>
        <v>-1056.7999999999972</v>
      </c>
    </row>
    <row r="24" spans="1:10" ht="20.100000000000001" customHeight="1">
      <c r="A24" s="52" t="s">
        <v>266</v>
      </c>
      <c r="B24" s="6">
        <f>'1.Фінансовий результат'!B140</f>
        <v>1140</v>
      </c>
      <c r="C24" s="12">
        <f>'1.Фінансовий результат'!C140</f>
        <v>0</v>
      </c>
      <c r="D24" s="12">
        <f>'1.Фінансовий результат'!D140</f>
        <v>0</v>
      </c>
      <c r="E24" s="12">
        <f>'1.Фінансовий результат'!E140</f>
        <v>0</v>
      </c>
      <c r="F24" s="12">
        <f>'1.Фінансовий результат'!F140</f>
        <v>0</v>
      </c>
      <c r="G24" s="12">
        <f>'1.Фінансовий результат'!G140</f>
        <v>0</v>
      </c>
      <c r="H24" s="12">
        <f>'1.Фінансовий результат'!H140</f>
        <v>0</v>
      </c>
      <c r="I24" s="12">
        <f>'1.Фінансовий результат'!I140</f>
        <v>0</v>
      </c>
      <c r="J24" s="12">
        <f>'1.Фінансовий результат'!J140</f>
        <v>0</v>
      </c>
    </row>
    <row r="25" spans="1:10" ht="20.100000000000001" customHeight="1">
      <c r="A25" s="52" t="s">
        <v>267</v>
      </c>
      <c r="B25" s="6">
        <f>'1.Фінансовий результат'!B141</f>
        <v>1150</v>
      </c>
      <c r="C25" s="12">
        <f>'1.Фінансовий результат'!C141</f>
        <v>0</v>
      </c>
      <c r="D25" s="12">
        <f>'1.Фінансовий результат'!D141</f>
        <v>0</v>
      </c>
      <c r="E25" s="12">
        <f>'1.Фінансовий результат'!E141</f>
        <v>0</v>
      </c>
      <c r="F25" s="12">
        <f>'1.Фінансовий результат'!F141</f>
        <v>0</v>
      </c>
      <c r="G25" s="12">
        <f>'1.Фінансовий результат'!G141</f>
        <v>0</v>
      </c>
      <c r="H25" s="12">
        <f>'1.Фінансовий результат'!H141</f>
        <v>0</v>
      </c>
      <c r="I25" s="12">
        <f>'1.Фінансовий результат'!I141</f>
        <v>0</v>
      </c>
      <c r="J25" s="12">
        <f>'1.Фінансовий результат'!J141</f>
        <v>0</v>
      </c>
    </row>
    <row r="26" spans="1:10" ht="20.100000000000001" customHeight="1">
      <c r="A26" s="57" t="s">
        <v>255</v>
      </c>
      <c r="B26" s="6">
        <f>'1.Фінансовий результат'!B142</f>
        <v>1160</v>
      </c>
      <c r="C26" s="12">
        <f>'1.Фінансовий результат'!C142</f>
        <v>0</v>
      </c>
      <c r="D26" s="12">
        <f>'1.Фінансовий результат'!D142</f>
        <v>0</v>
      </c>
      <c r="E26" s="12">
        <f>'1.Фінансовий результат'!E142</f>
        <v>0</v>
      </c>
      <c r="F26" s="12">
        <f>'1.Фінансовий результат'!F142</f>
        <v>0</v>
      </c>
      <c r="G26" s="12">
        <f>'1.Фінансовий результат'!G142</f>
        <v>0</v>
      </c>
      <c r="H26" s="12">
        <f>'1.Фінансовий результат'!H142</f>
        <v>0</v>
      </c>
      <c r="I26" s="12">
        <f>'1.Фінансовий результат'!I142</f>
        <v>0</v>
      </c>
      <c r="J26" s="12">
        <f>'1.Фінансовий результат'!J142</f>
        <v>0</v>
      </c>
    </row>
    <row r="27" spans="1:10" ht="20.100000000000001" customHeight="1">
      <c r="A27" s="57" t="s">
        <v>256</v>
      </c>
      <c r="B27" s="6">
        <f>'1.Фінансовий результат'!B143</f>
        <v>1170</v>
      </c>
      <c r="C27" s="12">
        <f>'1.Фінансовий результат'!C143</f>
        <v>0</v>
      </c>
      <c r="D27" s="12">
        <f>'1.Фінансовий результат'!D143</f>
        <v>0</v>
      </c>
      <c r="E27" s="12">
        <f>'1.Фінансовий результат'!E143</f>
        <v>0</v>
      </c>
      <c r="F27" s="12">
        <f>'1.Фінансовий результат'!F143</f>
        <v>0</v>
      </c>
      <c r="G27" s="12">
        <f>'1.Фінансовий результат'!G143</f>
        <v>0</v>
      </c>
      <c r="H27" s="12">
        <f>'1.Фінансовий результат'!H143</f>
        <v>0</v>
      </c>
      <c r="I27" s="12">
        <f>'1.Фінансовий результат'!I143</f>
        <v>0</v>
      </c>
      <c r="J27" s="12">
        <f>'1.Фінансовий результат'!J143</f>
        <v>0</v>
      </c>
    </row>
    <row r="28" spans="1:10" ht="43.5" customHeight="1">
      <c r="A28" s="59" t="s">
        <v>260</v>
      </c>
      <c r="B28" s="71">
        <f>'1.Фінансовий результат'!B144</f>
        <v>1200</v>
      </c>
      <c r="C28" s="90">
        <f>'1.Фінансовий результат'!C144</f>
        <v>-207.61899999999878</v>
      </c>
      <c r="D28" s="90">
        <f>'1.Фінансовий результат'!D144</f>
        <v>1184.7999999999925</v>
      </c>
      <c r="E28" s="90">
        <f>'1.Фінансовий результат'!E144</f>
        <v>-4.0021319591687643E-12</v>
      </c>
      <c r="F28" s="90">
        <f>'1.Фінансовий результат'!F144</f>
        <v>2.3646862246096134E-11</v>
      </c>
      <c r="G28" s="90">
        <f>'1.Фінансовий результат'!G144</f>
        <v>206.89999999999804</v>
      </c>
      <c r="H28" s="90">
        <f>'1.Фінансовий результат'!H144</f>
        <v>1941.1000000000029</v>
      </c>
      <c r="I28" s="90">
        <f>'1.Фінансовий результат'!I144</f>
        <v>-1108.0000000000023</v>
      </c>
      <c r="J28" s="90">
        <f>'1.Фінансовий результат'!J144</f>
        <v>-1056.7999999999972</v>
      </c>
    </row>
    <row r="29" spans="1:10" ht="20.100000000000001" customHeight="1">
      <c r="A29" s="11" t="s">
        <v>119</v>
      </c>
      <c r="B29" s="6">
        <f>'1.Фінансовий результат'!B145</f>
        <v>1210</v>
      </c>
      <c r="C29" s="12">
        <f>'1.Фінансовий результат'!C145</f>
        <v>0</v>
      </c>
      <c r="D29" s="12">
        <f>'1.Фінансовий результат'!D145</f>
        <v>0</v>
      </c>
      <c r="E29" s="12">
        <f>'1.Фінансовий результат'!E145</f>
        <v>0</v>
      </c>
      <c r="F29" s="12">
        <f>'1.Фінансовий результат'!F145</f>
        <v>0</v>
      </c>
      <c r="G29" s="12">
        <f>'1.Фінансовий результат'!G145</f>
        <v>0</v>
      </c>
      <c r="H29" s="12">
        <f>'1.Фінансовий результат'!H145</f>
        <v>0</v>
      </c>
      <c r="I29" s="12">
        <f>'1.Фінансовий результат'!I145</f>
        <v>0</v>
      </c>
      <c r="J29" s="12">
        <f>'1.Фінансовий результат'!J145</f>
        <v>0</v>
      </c>
    </row>
    <row r="30" spans="1:10" ht="35.25" customHeight="1">
      <c r="A30" s="83" t="s">
        <v>261</v>
      </c>
      <c r="B30" s="84">
        <f>'1.Фінансовий результат'!B147</f>
        <v>1230</v>
      </c>
      <c r="C30" s="91">
        <f>'1.Фінансовий результат'!C147</f>
        <v>-207.61899999999878</v>
      </c>
      <c r="D30" s="91">
        <f>'1.Фінансовий результат'!D147</f>
        <v>1184.7999999999925</v>
      </c>
      <c r="E30" s="91">
        <f>'1.Фінансовий результат'!E147</f>
        <v>-4.0021319591687643E-12</v>
      </c>
      <c r="F30" s="91">
        <f>'1.Фінансовий результат'!F147</f>
        <v>2.3646862246096134E-11</v>
      </c>
      <c r="G30" s="91">
        <f>'1.Фінансовий результат'!G147</f>
        <v>206.89999999999804</v>
      </c>
      <c r="H30" s="91">
        <f>'1.Фінансовий результат'!H147</f>
        <v>1941.1000000000029</v>
      </c>
      <c r="I30" s="91">
        <f>'1.Фінансовий результат'!I147</f>
        <v>-1108.0000000000023</v>
      </c>
      <c r="J30" s="91">
        <f>'1.Фінансовий результат'!J147</f>
        <v>-1056.7999999999972</v>
      </c>
    </row>
    <row r="31" spans="1:10" ht="24.95" customHeight="1">
      <c r="A31" s="565" t="s">
        <v>130</v>
      </c>
      <c r="B31" s="565"/>
      <c r="C31" s="565"/>
      <c r="D31" s="565"/>
      <c r="E31" s="565"/>
      <c r="F31" s="565"/>
      <c r="G31" s="565"/>
      <c r="H31" s="565"/>
      <c r="I31" s="565"/>
      <c r="J31" s="565"/>
    </row>
    <row r="32" spans="1:10" ht="20.100000000000001" customHeight="1">
      <c r="A32" s="56" t="s">
        <v>197</v>
      </c>
      <c r="B32" s="6">
        <f>'2. Розрахунки з бюджетом'!B20</f>
        <v>2100</v>
      </c>
      <c r="C32" s="12">
        <f>'2. Розрахунки з бюджетом'!C20</f>
        <v>0</v>
      </c>
      <c r="D32" s="12">
        <f>'2. Розрахунки з бюджетом'!D20</f>
        <v>0</v>
      </c>
      <c r="E32" s="12">
        <f>'2. Розрахунки з бюджетом'!E20</f>
        <v>0</v>
      </c>
      <c r="F32" s="12">
        <f>'2. Розрахунки з бюджетом'!F20</f>
        <v>0</v>
      </c>
      <c r="G32" s="12">
        <f>'2. Розрахунки з бюджетом'!G20</f>
        <v>0</v>
      </c>
      <c r="H32" s="12">
        <f>'2. Розрахунки з бюджетом'!H20</f>
        <v>0</v>
      </c>
      <c r="I32" s="12">
        <f>'2. Розрахунки з бюджетом'!I20</f>
        <v>0</v>
      </c>
      <c r="J32" s="12">
        <f>'2. Розрахунки з бюджетом'!J20</f>
        <v>0</v>
      </c>
    </row>
    <row r="33" spans="1:10" ht="20.100000000000001" customHeight="1">
      <c r="A33" s="33" t="s">
        <v>129</v>
      </c>
      <c r="B33" s="6">
        <f>'2. Розрахунки з бюджетом'!B21</f>
        <v>2110</v>
      </c>
      <c r="C33" s="12">
        <f>'2. Розрахунки з бюджетом'!C21</f>
        <v>0</v>
      </c>
      <c r="D33" s="12">
        <f>'2. Розрахунки з бюджетом'!D21</f>
        <v>0</v>
      </c>
      <c r="E33" s="12">
        <f>'2. Розрахунки з бюджетом'!E21</f>
        <v>0</v>
      </c>
      <c r="F33" s="12">
        <f>'2. Розрахунки з бюджетом'!F21</f>
        <v>0</v>
      </c>
      <c r="G33" s="12">
        <f>'2. Розрахунки з бюджетом'!G21</f>
        <v>0</v>
      </c>
      <c r="H33" s="12">
        <f>'2. Розрахунки з бюджетом'!H21</f>
        <v>0</v>
      </c>
      <c r="I33" s="12">
        <f>'2. Розрахунки з бюджетом'!I21</f>
        <v>0</v>
      </c>
      <c r="J33" s="12">
        <f>'2. Розрахунки з бюджетом'!J21</f>
        <v>0</v>
      </c>
    </row>
    <row r="34" spans="1:10" ht="40.5" customHeight="1">
      <c r="A34" s="33" t="s">
        <v>228</v>
      </c>
      <c r="B34" s="6">
        <f>'2. Розрахунки з бюджетом'!B22</f>
        <v>2120</v>
      </c>
      <c r="C34" s="12">
        <f>'2. Розрахунки з бюджетом'!C22</f>
        <v>0</v>
      </c>
      <c r="D34" s="12">
        <f>'2. Розрахунки з бюджетом'!D22</f>
        <v>0</v>
      </c>
      <c r="E34" s="12">
        <f>'2. Розрахунки з бюджетом'!E22</f>
        <v>0</v>
      </c>
      <c r="F34" s="12">
        <f>'2. Розрахунки з бюджетом'!F22</f>
        <v>0</v>
      </c>
      <c r="G34" s="12">
        <f>'2. Розрахунки з бюджетом'!G22</f>
        <v>0</v>
      </c>
      <c r="H34" s="12">
        <f>'2. Розрахунки з бюджетом'!H22</f>
        <v>0</v>
      </c>
      <c r="I34" s="12">
        <f>'2. Розрахунки з бюджетом'!I22</f>
        <v>0</v>
      </c>
      <c r="J34" s="12">
        <f>'2. Розрахунки з бюджетом'!J22</f>
        <v>0</v>
      </c>
    </row>
    <row r="35" spans="1:10" ht="39.75" customHeight="1">
      <c r="A35" s="33" t="s">
        <v>229</v>
      </c>
      <c r="B35" s="6">
        <f>'2. Розрахунки з бюджетом'!B23</f>
        <v>2130</v>
      </c>
      <c r="C35" s="12">
        <f>'2. Розрахунки з бюджетом'!C23</f>
        <v>0</v>
      </c>
      <c r="D35" s="12">
        <f>'2. Розрахунки з бюджетом'!D23</f>
        <v>0</v>
      </c>
      <c r="E35" s="12">
        <f>'2. Розрахунки з бюджетом'!E23</f>
        <v>0</v>
      </c>
      <c r="F35" s="12">
        <f>'2. Розрахунки з бюджетом'!F23</f>
        <v>0</v>
      </c>
      <c r="G35" s="12">
        <f>'2. Розрахунки з бюджетом'!G23</f>
        <v>0</v>
      </c>
      <c r="H35" s="12">
        <f>'2. Розрахунки з бюджетом'!H23</f>
        <v>0</v>
      </c>
      <c r="I35" s="12">
        <f>'2. Розрахунки з бюджетом'!I23</f>
        <v>0</v>
      </c>
      <c r="J35" s="12">
        <f>'2. Розрахунки з бюджетом'!J23</f>
        <v>0</v>
      </c>
    </row>
    <row r="36" spans="1:10" ht="42.75" customHeight="1">
      <c r="A36" s="56" t="s">
        <v>189</v>
      </c>
      <c r="B36" s="6">
        <f>'2. Розрахунки з бюджетом'!B24</f>
        <v>2140</v>
      </c>
      <c r="C36" s="12">
        <f>'2. Розрахунки з бюджетом'!C24</f>
        <v>4892.2</v>
      </c>
      <c r="D36" s="12">
        <f>'2. Розрахунки з бюджетом'!D24</f>
        <v>6464</v>
      </c>
      <c r="E36" s="12">
        <f>'2. Розрахунки з бюджетом'!E24</f>
        <v>7660</v>
      </c>
      <c r="F36" s="12">
        <f>'2. Розрахунки з бюджетом'!F24</f>
        <v>7806.4</v>
      </c>
      <c r="G36" s="12">
        <f>'2. Розрахунки з бюджетом'!G24</f>
        <v>1846.3</v>
      </c>
      <c r="H36" s="12">
        <f>'2. Розрахунки з бюджетом'!H24</f>
        <v>1900.1</v>
      </c>
      <c r="I36" s="12">
        <f>'2. Розрахунки з бюджетом'!I24</f>
        <v>2100</v>
      </c>
      <c r="J36" s="12">
        <f>'2. Розрахунки з бюджетом'!J24</f>
        <v>1960</v>
      </c>
    </row>
    <row r="37" spans="1:10" ht="39" customHeight="1">
      <c r="A37" s="56" t="s">
        <v>74</v>
      </c>
      <c r="B37" s="6">
        <f>'2. Розрахунки з бюджетом'!B34</f>
        <v>2150</v>
      </c>
      <c r="C37" s="12">
        <f>'2. Розрахунки з бюджетом'!C34</f>
        <v>5279.6</v>
      </c>
      <c r="D37" s="12">
        <f>'2. Розрахунки з бюджетом'!D34</f>
        <v>7096</v>
      </c>
      <c r="E37" s="12">
        <f>'2. Розрахунки з бюджетом'!E34</f>
        <v>7757.2</v>
      </c>
      <c r="F37" s="12">
        <f>'2. Розрахунки з бюджетом'!F34</f>
        <v>10893.8</v>
      </c>
      <c r="G37" s="12">
        <f>'2. Розрахунки з бюджетом'!G34</f>
        <v>2275.5</v>
      </c>
      <c r="H37" s="12">
        <f>'2. Розрахунки з бюджетом'!H34</f>
        <v>2073.9</v>
      </c>
      <c r="I37" s="12">
        <f>'2. Розрахунки з бюджетом'!I34</f>
        <v>2858.4</v>
      </c>
      <c r="J37" s="12">
        <f>'2. Розрахунки з бюджетом'!J34</f>
        <v>3686</v>
      </c>
    </row>
    <row r="38" spans="1:10" ht="20.100000000000001" customHeight="1">
      <c r="A38" s="55" t="s">
        <v>198</v>
      </c>
      <c r="B38" s="71">
        <f>'2. Розрахунки з бюджетом'!B35</f>
        <v>2200</v>
      </c>
      <c r="C38" s="90">
        <f>'2. Розрахунки з бюджетом'!C35</f>
        <v>10171.799999999999</v>
      </c>
      <c r="D38" s="90">
        <f>'2. Розрахунки з бюджетом'!D35</f>
        <v>13560</v>
      </c>
      <c r="E38" s="90">
        <f>'2. Розрахунки з бюджетом'!E35</f>
        <v>15417.2</v>
      </c>
      <c r="F38" s="90">
        <f>'2. Розрахунки з бюджетом'!F35</f>
        <v>18700.199999999997</v>
      </c>
      <c r="G38" s="90">
        <f>'2. Розрахунки з бюджетом'!G35</f>
        <v>4121.8</v>
      </c>
      <c r="H38" s="90">
        <f>'2. Розрахунки з бюджетом'!H35</f>
        <v>3974</v>
      </c>
      <c r="I38" s="90">
        <f>'2. Розрахунки з бюджетом'!I35</f>
        <v>4958.3999999999996</v>
      </c>
      <c r="J38" s="90">
        <f>'2. Розрахунки з бюджетом'!J35</f>
        <v>5646</v>
      </c>
    </row>
    <row r="39" spans="1:10" ht="24.95" customHeight="1">
      <c r="A39" s="565" t="s">
        <v>128</v>
      </c>
      <c r="B39" s="565"/>
      <c r="C39" s="565"/>
      <c r="D39" s="565"/>
      <c r="E39" s="565"/>
      <c r="F39" s="565"/>
      <c r="G39" s="565"/>
      <c r="H39" s="565"/>
      <c r="I39" s="565"/>
      <c r="J39" s="565"/>
    </row>
    <row r="40" spans="1:10" ht="20.100000000000001" customHeight="1">
      <c r="A40" s="55" t="s">
        <v>122</v>
      </c>
      <c r="B40" s="71">
        <f>'3. Рух грошових коштів'!B65</f>
        <v>3600</v>
      </c>
      <c r="C40" s="90">
        <f>'3. Рух грошових коштів'!C65</f>
        <v>0</v>
      </c>
      <c r="D40" s="90">
        <f>'3. Рух грошових коштів'!D65</f>
        <v>0</v>
      </c>
      <c r="E40" s="90">
        <f>'3. Рух грошових коштів'!E65</f>
        <v>0</v>
      </c>
      <c r="F40" s="90">
        <f>'3. Рух грошових коштів'!F65</f>
        <v>0</v>
      </c>
      <c r="G40" s="90">
        <f>'3. Рух грошових коштів'!G65</f>
        <v>0</v>
      </c>
      <c r="H40" s="90">
        <f>'3. Рух грошових коштів'!H65</f>
        <v>0</v>
      </c>
      <c r="I40" s="90">
        <f>'3. Рух грошових коштів'!I65</f>
        <v>0</v>
      </c>
      <c r="J40" s="90">
        <f>'3. Рух грошових коштів'!J65</f>
        <v>0</v>
      </c>
    </row>
    <row r="41" spans="1:10" ht="20.100000000000001" customHeight="1">
      <c r="A41" s="56" t="s">
        <v>123</v>
      </c>
      <c r="B41" s="6">
        <f>'3. Рух грошових коштів'!B20</f>
        <v>3090</v>
      </c>
      <c r="C41" s="12">
        <f>'3. Рух грошових коштів'!C20</f>
        <v>0</v>
      </c>
      <c r="D41" s="12">
        <f>'3. Рух грошових коштів'!D20</f>
        <v>0</v>
      </c>
      <c r="E41" s="12">
        <f>'3. Рух грошових коштів'!E20</f>
        <v>0</v>
      </c>
      <c r="F41" s="12">
        <f>'3. Рух грошових коштів'!F20</f>
        <v>0</v>
      </c>
      <c r="G41" s="12">
        <f>'3. Рух грошових коштів'!G20</f>
        <v>0</v>
      </c>
      <c r="H41" s="12">
        <f>'3. Рух грошових коштів'!H20</f>
        <v>0</v>
      </c>
      <c r="I41" s="12">
        <f>'3. Рух грошових коштів'!I20</f>
        <v>0</v>
      </c>
      <c r="J41" s="12">
        <f>'3. Рух грошових коштів'!J20</f>
        <v>0</v>
      </c>
    </row>
    <row r="42" spans="1:10" ht="20.100000000000001" customHeight="1">
      <c r="A42" s="56" t="s">
        <v>183</v>
      </c>
      <c r="B42" s="6">
        <f>'3. Рух грошових коштів'!B37</f>
        <v>3320</v>
      </c>
      <c r="C42" s="12">
        <f>'3. Рух грошових коштів'!C37</f>
        <v>0</v>
      </c>
      <c r="D42" s="12">
        <f>'3. Рух грошових коштів'!D37</f>
        <v>0</v>
      </c>
      <c r="E42" s="12">
        <f>'3. Рух грошових коштів'!E37</f>
        <v>0</v>
      </c>
      <c r="F42" s="12">
        <f>'3. Рух грошових коштів'!F37</f>
        <v>0</v>
      </c>
      <c r="G42" s="12">
        <f>'3. Рух грошових коштів'!G37</f>
        <v>0</v>
      </c>
      <c r="H42" s="12">
        <f>'3. Рух грошових коштів'!H37</f>
        <v>0</v>
      </c>
      <c r="I42" s="12">
        <f>'3. Рух грошових коштів'!I37</f>
        <v>0</v>
      </c>
      <c r="J42" s="12">
        <f>'3. Рух грошових коштів'!J37</f>
        <v>0</v>
      </c>
    </row>
    <row r="43" spans="1:10" ht="20.100000000000001" customHeight="1">
      <c r="A43" s="56" t="s">
        <v>124</v>
      </c>
      <c r="B43" s="6">
        <f>'3. Рух грошових коштів'!B63</f>
        <v>3580</v>
      </c>
      <c r="C43" s="12">
        <f>'3. Рух грошових коштів'!C63</f>
        <v>0</v>
      </c>
      <c r="D43" s="12">
        <f>'3. Рух грошових коштів'!D63</f>
        <v>0</v>
      </c>
      <c r="E43" s="12">
        <f>'3. Рух грошових коштів'!E63</f>
        <v>0</v>
      </c>
      <c r="F43" s="12">
        <f>'3. Рух грошових коштів'!F63</f>
        <v>0</v>
      </c>
      <c r="G43" s="12">
        <f>'3. Рух грошових коштів'!G63</f>
        <v>0</v>
      </c>
      <c r="H43" s="12">
        <f>'3. Рух грошових коштів'!H63</f>
        <v>0</v>
      </c>
      <c r="I43" s="12">
        <f>'3. Рух грошових коштів'!I63</f>
        <v>0</v>
      </c>
      <c r="J43" s="12">
        <f>'3. Рух грошових коштів'!J63</f>
        <v>0</v>
      </c>
    </row>
    <row r="44" spans="1:10" ht="20.100000000000001" customHeight="1">
      <c r="A44" s="56" t="s">
        <v>142</v>
      </c>
      <c r="B44" s="6">
        <f>'3. Рух грошових коштів'!B66</f>
        <v>3610</v>
      </c>
      <c r="C44" s="12">
        <f>'3. Рух грошових коштів'!C66</f>
        <v>0</v>
      </c>
      <c r="D44" s="12">
        <f>'3. Рух грошових коштів'!D66</f>
        <v>0</v>
      </c>
      <c r="E44" s="12">
        <f>'3. Рух грошових коштів'!E66</f>
        <v>0</v>
      </c>
      <c r="F44" s="12">
        <f>'3. Рух грошових коштів'!F66</f>
        <v>0</v>
      </c>
      <c r="G44" s="12">
        <f>'3. Рух грошових коштів'!G66</f>
        <v>0</v>
      </c>
      <c r="H44" s="12">
        <f>'3. Рух грошових коштів'!H66</f>
        <v>0</v>
      </c>
      <c r="I44" s="12">
        <f>'3. Рух грошових коштів'!I66</f>
        <v>0</v>
      </c>
      <c r="J44" s="12">
        <f>'3. Рух грошових коштів'!J66</f>
        <v>0</v>
      </c>
    </row>
    <row r="45" spans="1:10" ht="20.100000000000001" customHeight="1">
      <c r="A45" s="55" t="s">
        <v>125</v>
      </c>
      <c r="B45" s="71">
        <f>'3. Рух грошових коштів'!B67</f>
        <v>3620</v>
      </c>
      <c r="C45" s="90">
        <f>'3. Рух грошових коштів'!C67</f>
        <v>0</v>
      </c>
      <c r="D45" s="90">
        <f>'3. Рух грошових коштів'!D67</f>
        <v>0</v>
      </c>
      <c r="E45" s="90">
        <f>'3. Рух грошових коштів'!E67</f>
        <v>0</v>
      </c>
      <c r="F45" s="90">
        <f>'3. Рух грошових коштів'!F67</f>
        <v>0</v>
      </c>
      <c r="G45" s="90">
        <f>'3. Рух грошових коштів'!G67</f>
        <v>0</v>
      </c>
      <c r="H45" s="90">
        <f>'3. Рух грошових коштів'!H67</f>
        <v>0</v>
      </c>
      <c r="I45" s="90">
        <f>'3. Рух грошових коштів'!I67</f>
        <v>0</v>
      </c>
      <c r="J45" s="90">
        <f>'3. Рух грошових коштів'!J67</f>
        <v>0</v>
      </c>
    </row>
    <row r="46" spans="1:10" ht="24.95" customHeight="1">
      <c r="A46" s="559" t="s">
        <v>174</v>
      </c>
      <c r="B46" s="560"/>
      <c r="C46" s="560"/>
      <c r="D46" s="560"/>
      <c r="E46" s="560"/>
      <c r="F46" s="560"/>
      <c r="G46" s="560"/>
      <c r="H46" s="560"/>
      <c r="I46" s="560"/>
      <c r="J46" s="561"/>
    </row>
    <row r="47" spans="1:10" ht="20.100000000000001" customHeight="1">
      <c r="A47" s="56" t="s">
        <v>173</v>
      </c>
      <c r="B47" s="6">
        <f>'4. Кап. інвестиції'!B9</f>
        <v>4000</v>
      </c>
      <c r="C47" s="12">
        <f>'4. Кап. інвестиції'!C9</f>
        <v>2125.5500000000002</v>
      </c>
      <c r="D47" s="12">
        <f>'4. Кап. інвестиції'!D9</f>
        <v>0</v>
      </c>
      <c r="E47" s="12">
        <f>'4. Кап. інвестиції'!E9</f>
        <v>518.4</v>
      </c>
      <c r="F47" s="12">
        <f>'4. Кап. інвестиції'!F9</f>
        <v>3000</v>
      </c>
      <c r="G47" s="12">
        <f>'4. Кап. інвестиції'!G9</f>
        <v>0</v>
      </c>
      <c r="H47" s="12">
        <f>'4. Кап. інвестиції'!H9</f>
        <v>0</v>
      </c>
      <c r="I47" s="12">
        <f>'4. Кап. інвестиції'!I9</f>
        <v>3000</v>
      </c>
      <c r="J47" s="12">
        <f>'4. Кап. інвестиції'!J9</f>
        <v>0</v>
      </c>
    </row>
    <row r="48" spans="1:10" s="5" customFormat="1" ht="24.95" customHeight="1">
      <c r="A48" s="566"/>
      <c r="B48" s="566"/>
      <c r="C48" s="566"/>
      <c r="D48" s="566"/>
      <c r="E48" s="566"/>
      <c r="F48" s="566"/>
      <c r="G48" s="566"/>
      <c r="H48" s="566"/>
      <c r="I48" s="566"/>
      <c r="J48" s="566"/>
    </row>
    <row r="49" spans="1:10" s="5" customFormat="1" ht="24.9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</row>
    <row r="50" spans="1:10" ht="24.95" customHeight="1">
      <c r="A50" s="107"/>
      <c r="C50" s="77"/>
      <c r="D50" s="77"/>
      <c r="E50" s="77"/>
      <c r="F50" s="77"/>
      <c r="G50" s="77"/>
      <c r="H50" s="77"/>
      <c r="I50" s="77"/>
      <c r="J50" s="77"/>
    </row>
    <row r="51" spans="1:10" ht="20.100000000000001" customHeight="1">
      <c r="A51" s="44" t="s">
        <v>411</v>
      </c>
      <c r="B51" s="1"/>
      <c r="C51" s="557" t="s">
        <v>190</v>
      </c>
      <c r="D51" s="557"/>
      <c r="E51" s="557"/>
      <c r="F51" s="557"/>
      <c r="G51" s="14"/>
      <c r="H51" s="558" t="s">
        <v>412</v>
      </c>
      <c r="I51" s="558"/>
      <c r="J51" s="558"/>
    </row>
    <row r="52" spans="1:10" s="2" customFormat="1" ht="20.100000000000001" customHeight="1">
      <c r="A52" s="51" t="s">
        <v>352</v>
      </c>
      <c r="B52" s="3"/>
      <c r="C52" s="553" t="s">
        <v>227</v>
      </c>
      <c r="D52" s="553"/>
      <c r="E52" s="553"/>
      <c r="F52" s="553"/>
      <c r="G52" s="23"/>
      <c r="H52" s="554" t="s">
        <v>89</v>
      </c>
      <c r="I52" s="554"/>
      <c r="J52" s="554"/>
    </row>
    <row r="54" spans="1:10">
      <c r="A54" s="37"/>
    </row>
    <row r="55" spans="1:10">
      <c r="A55" s="37"/>
    </row>
    <row r="56" spans="1:10">
      <c r="A56" s="37"/>
    </row>
    <row r="57" spans="1:10" s="21" customFormat="1">
      <c r="A57" s="37"/>
      <c r="F57" s="3"/>
      <c r="G57" s="3"/>
      <c r="H57" s="3"/>
      <c r="I57" s="3"/>
      <c r="J57" s="3"/>
    </row>
    <row r="58" spans="1:10" s="21" customFormat="1">
      <c r="A58" s="37"/>
      <c r="F58" s="3"/>
      <c r="G58" s="3"/>
      <c r="H58" s="3"/>
      <c r="I58" s="3"/>
      <c r="J58" s="3"/>
    </row>
    <row r="59" spans="1:10" s="21" customFormat="1">
      <c r="A59" s="37"/>
      <c r="F59" s="3"/>
      <c r="G59" s="3"/>
      <c r="H59" s="3"/>
      <c r="I59" s="3"/>
      <c r="J59" s="3"/>
    </row>
    <row r="60" spans="1:10" s="21" customFormat="1">
      <c r="A60" s="37"/>
      <c r="F60" s="3"/>
      <c r="G60" s="3"/>
      <c r="H60" s="3"/>
      <c r="I60" s="3"/>
      <c r="J60" s="3"/>
    </row>
    <row r="61" spans="1:10" s="21" customFormat="1">
      <c r="A61" s="37"/>
      <c r="F61" s="3"/>
      <c r="G61" s="3"/>
      <c r="H61" s="3"/>
      <c r="I61" s="3"/>
      <c r="J61" s="3"/>
    </row>
    <row r="62" spans="1:10" s="21" customFormat="1">
      <c r="A62" s="37"/>
      <c r="F62" s="3"/>
      <c r="G62" s="3"/>
      <c r="H62" s="3"/>
      <c r="I62" s="3"/>
      <c r="J62" s="3"/>
    </row>
    <row r="63" spans="1:10" s="21" customFormat="1">
      <c r="A63" s="37"/>
      <c r="F63" s="3"/>
      <c r="G63" s="3"/>
      <c r="H63" s="3"/>
      <c r="I63" s="3"/>
      <c r="J63" s="3"/>
    </row>
    <row r="64" spans="1:10" s="21" customFormat="1">
      <c r="A64" s="37"/>
      <c r="F64" s="3"/>
      <c r="G64" s="3"/>
      <c r="H64" s="3"/>
      <c r="I64" s="3"/>
      <c r="J64" s="3"/>
    </row>
    <row r="65" spans="1:10" s="21" customFormat="1">
      <c r="A65" s="37"/>
      <c r="F65" s="3"/>
      <c r="G65" s="3"/>
      <c r="H65" s="3"/>
      <c r="I65" s="3"/>
      <c r="J65" s="3"/>
    </row>
    <row r="66" spans="1:10" s="21" customFormat="1">
      <c r="A66" s="37"/>
      <c r="F66" s="3"/>
      <c r="G66" s="3"/>
      <c r="H66" s="3"/>
      <c r="I66" s="3"/>
      <c r="J66" s="3"/>
    </row>
    <row r="67" spans="1:10" s="21" customFormat="1">
      <c r="A67" s="37"/>
      <c r="F67" s="3"/>
      <c r="G67" s="3"/>
      <c r="H67" s="3"/>
      <c r="I67" s="3"/>
      <c r="J67" s="3"/>
    </row>
    <row r="68" spans="1:10" s="21" customFormat="1">
      <c r="A68" s="37"/>
      <c r="F68" s="3"/>
      <c r="G68" s="3"/>
      <c r="H68" s="3"/>
      <c r="I68" s="3"/>
      <c r="J68" s="3"/>
    </row>
    <row r="69" spans="1:10" s="21" customFormat="1">
      <c r="A69" s="37"/>
      <c r="F69" s="3"/>
      <c r="G69" s="3"/>
      <c r="H69" s="3"/>
      <c r="I69" s="3"/>
      <c r="J69" s="3"/>
    </row>
    <row r="70" spans="1:10" s="21" customFormat="1">
      <c r="A70" s="37"/>
      <c r="F70" s="3"/>
      <c r="G70" s="3"/>
      <c r="H70" s="3"/>
      <c r="I70" s="3"/>
      <c r="J70" s="3"/>
    </row>
    <row r="71" spans="1:10" s="21" customFormat="1">
      <c r="A71" s="37"/>
      <c r="F71" s="3"/>
      <c r="G71" s="3"/>
      <c r="H71" s="3"/>
      <c r="I71" s="3"/>
      <c r="J71" s="3"/>
    </row>
    <row r="72" spans="1:10" s="21" customFormat="1">
      <c r="A72" s="37"/>
      <c r="F72" s="3"/>
      <c r="G72" s="3"/>
      <c r="H72" s="3"/>
      <c r="I72" s="3"/>
      <c r="J72" s="3"/>
    </row>
    <row r="73" spans="1:10" s="21" customFormat="1">
      <c r="A73" s="37"/>
      <c r="F73" s="3"/>
      <c r="G73" s="3"/>
      <c r="H73" s="3"/>
      <c r="I73" s="3"/>
      <c r="J73" s="3"/>
    </row>
    <row r="74" spans="1:10" s="21" customFormat="1">
      <c r="A74" s="37"/>
      <c r="F74" s="3"/>
      <c r="G74" s="3"/>
      <c r="H74" s="3"/>
      <c r="I74" s="3"/>
      <c r="J74" s="3"/>
    </row>
    <row r="75" spans="1:10" s="21" customFormat="1">
      <c r="A75" s="37"/>
      <c r="F75" s="3"/>
      <c r="G75" s="3"/>
      <c r="H75" s="3"/>
      <c r="I75" s="3"/>
      <c r="J75" s="3"/>
    </row>
    <row r="76" spans="1:10" s="21" customFormat="1">
      <c r="A76" s="37"/>
      <c r="F76" s="3"/>
      <c r="G76" s="3"/>
      <c r="H76" s="3"/>
      <c r="I76" s="3"/>
      <c r="J76" s="3"/>
    </row>
    <row r="77" spans="1:10" s="21" customFormat="1">
      <c r="A77" s="37"/>
      <c r="F77" s="3"/>
      <c r="G77" s="3"/>
      <c r="H77" s="3"/>
      <c r="I77" s="3"/>
      <c r="J77" s="3"/>
    </row>
    <row r="78" spans="1:10" s="21" customFormat="1">
      <c r="A78" s="37"/>
      <c r="F78" s="3"/>
      <c r="G78" s="3"/>
      <c r="H78" s="3"/>
      <c r="I78" s="3"/>
      <c r="J78" s="3"/>
    </row>
    <row r="79" spans="1:10" s="21" customFormat="1">
      <c r="A79" s="37"/>
      <c r="F79" s="3"/>
      <c r="G79" s="3"/>
      <c r="H79" s="3"/>
      <c r="I79" s="3"/>
      <c r="J79" s="3"/>
    </row>
    <row r="80" spans="1:10" s="21" customFormat="1">
      <c r="A80" s="37"/>
      <c r="F80" s="3"/>
      <c r="G80" s="3"/>
      <c r="H80" s="3"/>
      <c r="I80" s="3"/>
      <c r="J80" s="3"/>
    </row>
    <row r="81" spans="1:10" s="21" customFormat="1">
      <c r="A81" s="37"/>
      <c r="F81" s="3"/>
      <c r="G81" s="3"/>
      <c r="H81" s="3"/>
      <c r="I81" s="3"/>
      <c r="J81" s="3"/>
    </row>
    <row r="82" spans="1:10" s="21" customFormat="1">
      <c r="A82" s="37"/>
      <c r="F82" s="3"/>
      <c r="G82" s="3"/>
      <c r="H82" s="3"/>
      <c r="I82" s="3"/>
      <c r="J82" s="3"/>
    </row>
    <row r="83" spans="1:10" s="21" customFormat="1">
      <c r="A83" s="37"/>
      <c r="F83" s="3"/>
      <c r="G83" s="3"/>
      <c r="H83" s="3"/>
      <c r="I83" s="3"/>
      <c r="J83" s="3"/>
    </row>
    <row r="84" spans="1:10" s="21" customFormat="1">
      <c r="A84" s="37"/>
      <c r="F84" s="3"/>
      <c r="G84" s="3"/>
      <c r="H84" s="3"/>
      <c r="I84" s="3"/>
      <c r="J84" s="3"/>
    </row>
    <row r="85" spans="1:10" s="21" customFormat="1">
      <c r="A85" s="37"/>
      <c r="F85" s="3"/>
      <c r="G85" s="3"/>
      <c r="H85" s="3"/>
      <c r="I85" s="3"/>
      <c r="J85" s="3"/>
    </row>
    <row r="86" spans="1:10" s="21" customFormat="1">
      <c r="A86" s="37"/>
      <c r="F86" s="3"/>
      <c r="G86" s="3"/>
      <c r="H86" s="3"/>
      <c r="I86" s="3"/>
      <c r="J86" s="3"/>
    </row>
    <row r="87" spans="1:10" s="21" customFormat="1">
      <c r="A87" s="37"/>
      <c r="F87" s="3"/>
      <c r="G87" s="3"/>
      <c r="H87" s="3"/>
      <c r="I87" s="3"/>
      <c r="J87" s="3"/>
    </row>
    <row r="88" spans="1:10" s="21" customFormat="1">
      <c r="A88" s="37"/>
      <c r="F88" s="3"/>
      <c r="G88" s="3"/>
      <c r="H88" s="3"/>
      <c r="I88" s="3"/>
      <c r="J88" s="3"/>
    </row>
    <row r="89" spans="1:10" s="21" customFormat="1">
      <c r="A89" s="37"/>
      <c r="F89" s="3"/>
      <c r="G89" s="3"/>
      <c r="H89" s="3"/>
      <c r="I89" s="3"/>
      <c r="J89" s="3"/>
    </row>
    <row r="90" spans="1:10" s="21" customFormat="1">
      <c r="A90" s="37"/>
      <c r="F90" s="3"/>
      <c r="G90" s="3"/>
      <c r="H90" s="3"/>
      <c r="I90" s="3"/>
      <c r="J90" s="3"/>
    </row>
    <row r="91" spans="1:10" s="21" customFormat="1">
      <c r="A91" s="37"/>
      <c r="F91" s="3"/>
      <c r="G91" s="3"/>
      <c r="H91" s="3"/>
      <c r="I91" s="3"/>
      <c r="J91" s="3"/>
    </row>
    <row r="92" spans="1:10" s="21" customFormat="1">
      <c r="A92" s="37"/>
      <c r="F92" s="3"/>
      <c r="G92" s="3"/>
      <c r="H92" s="3"/>
      <c r="I92" s="3"/>
      <c r="J92" s="3"/>
    </row>
    <row r="93" spans="1:10" s="21" customFormat="1">
      <c r="A93" s="37"/>
      <c r="F93" s="3"/>
      <c r="G93" s="3"/>
      <c r="H93" s="3"/>
      <c r="I93" s="3"/>
      <c r="J93" s="3"/>
    </row>
    <row r="94" spans="1:10" s="21" customFormat="1">
      <c r="A94" s="37"/>
      <c r="F94" s="3"/>
      <c r="G94" s="3"/>
      <c r="H94" s="3"/>
      <c r="I94" s="3"/>
      <c r="J94" s="3"/>
    </row>
    <row r="95" spans="1:10" s="21" customFormat="1">
      <c r="A95" s="37"/>
      <c r="F95" s="3"/>
      <c r="G95" s="3"/>
      <c r="H95" s="3"/>
      <c r="I95" s="3"/>
      <c r="J95" s="3"/>
    </row>
    <row r="96" spans="1:10" s="21" customFormat="1">
      <c r="A96" s="37"/>
      <c r="F96" s="3"/>
      <c r="G96" s="3"/>
      <c r="H96" s="3"/>
      <c r="I96" s="3"/>
      <c r="J96" s="3"/>
    </row>
    <row r="97" spans="1:10" s="21" customFormat="1">
      <c r="A97" s="37"/>
      <c r="F97" s="3"/>
      <c r="G97" s="3"/>
      <c r="H97" s="3"/>
      <c r="I97" s="3"/>
      <c r="J97" s="3"/>
    </row>
    <row r="98" spans="1:10" s="21" customFormat="1">
      <c r="A98" s="37"/>
      <c r="F98" s="3"/>
      <c r="G98" s="3"/>
      <c r="H98" s="3"/>
      <c r="I98" s="3"/>
      <c r="J98" s="3"/>
    </row>
    <row r="99" spans="1:10" s="21" customFormat="1">
      <c r="A99" s="37"/>
      <c r="F99" s="3"/>
      <c r="G99" s="3"/>
      <c r="H99" s="3"/>
      <c r="I99" s="3"/>
      <c r="J99" s="3"/>
    </row>
    <row r="100" spans="1:10" s="21" customFormat="1">
      <c r="A100" s="37"/>
      <c r="F100" s="3"/>
      <c r="G100" s="3"/>
      <c r="H100" s="3"/>
      <c r="I100" s="3"/>
      <c r="J100" s="3"/>
    </row>
    <row r="101" spans="1:10" s="21" customFormat="1">
      <c r="A101" s="37"/>
      <c r="F101" s="3"/>
      <c r="G101" s="3"/>
      <c r="H101" s="3"/>
      <c r="I101" s="3"/>
      <c r="J101" s="3"/>
    </row>
    <row r="102" spans="1:10" s="21" customFormat="1">
      <c r="A102" s="37"/>
      <c r="F102" s="3"/>
      <c r="G102" s="3"/>
      <c r="H102" s="3"/>
      <c r="I102" s="3"/>
      <c r="J102" s="3"/>
    </row>
    <row r="103" spans="1:10" s="21" customFormat="1">
      <c r="A103" s="37"/>
      <c r="F103" s="3"/>
      <c r="G103" s="3"/>
      <c r="H103" s="3"/>
      <c r="I103" s="3"/>
      <c r="J103" s="3"/>
    </row>
    <row r="104" spans="1:10" s="21" customFormat="1">
      <c r="A104" s="37"/>
      <c r="F104" s="3"/>
      <c r="G104" s="3"/>
      <c r="H104" s="3"/>
      <c r="I104" s="3"/>
      <c r="J104" s="3"/>
    </row>
    <row r="105" spans="1:10" s="21" customFormat="1">
      <c r="A105" s="37"/>
      <c r="F105" s="3"/>
      <c r="G105" s="3"/>
      <c r="H105" s="3"/>
      <c r="I105" s="3"/>
      <c r="J105" s="3"/>
    </row>
    <row r="106" spans="1:10" s="21" customFormat="1">
      <c r="A106" s="37"/>
      <c r="F106" s="3"/>
      <c r="G106" s="3"/>
      <c r="H106" s="3"/>
      <c r="I106" s="3"/>
      <c r="J106" s="3"/>
    </row>
    <row r="107" spans="1:10" s="21" customFormat="1">
      <c r="A107" s="37"/>
      <c r="F107" s="3"/>
      <c r="G107" s="3"/>
      <c r="H107" s="3"/>
      <c r="I107" s="3"/>
      <c r="J107" s="3"/>
    </row>
    <row r="108" spans="1:10" s="21" customFormat="1">
      <c r="A108" s="37"/>
      <c r="F108" s="3"/>
      <c r="G108" s="3"/>
      <c r="H108" s="3"/>
      <c r="I108" s="3"/>
      <c r="J108" s="3"/>
    </row>
    <row r="109" spans="1:10" s="21" customFormat="1">
      <c r="A109" s="37"/>
      <c r="F109" s="3"/>
      <c r="G109" s="3"/>
      <c r="H109" s="3"/>
      <c r="I109" s="3"/>
      <c r="J109" s="3"/>
    </row>
    <row r="110" spans="1:10" s="21" customFormat="1">
      <c r="A110" s="37"/>
      <c r="F110" s="3"/>
      <c r="G110" s="3"/>
      <c r="H110" s="3"/>
      <c r="I110" s="3"/>
      <c r="J110" s="3"/>
    </row>
    <row r="111" spans="1:10" s="21" customFormat="1">
      <c r="A111" s="37"/>
      <c r="F111" s="3"/>
      <c r="G111" s="3"/>
      <c r="H111" s="3"/>
      <c r="I111" s="3"/>
      <c r="J111" s="3"/>
    </row>
    <row r="112" spans="1:10" s="21" customFormat="1">
      <c r="A112" s="37"/>
      <c r="F112" s="3"/>
      <c r="G112" s="3"/>
      <c r="H112" s="3"/>
      <c r="I112" s="3"/>
      <c r="J112" s="3"/>
    </row>
    <row r="113" spans="1:10" s="21" customFormat="1">
      <c r="A113" s="37"/>
      <c r="F113" s="3"/>
      <c r="G113" s="3"/>
      <c r="H113" s="3"/>
      <c r="I113" s="3"/>
      <c r="J113" s="3"/>
    </row>
    <row r="114" spans="1:10" s="21" customFormat="1">
      <c r="A114" s="37"/>
      <c r="F114" s="3"/>
      <c r="G114" s="3"/>
      <c r="H114" s="3"/>
      <c r="I114" s="3"/>
      <c r="J114" s="3"/>
    </row>
    <row r="115" spans="1:10" s="21" customFormat="1">
      <c r="A115" s="37"/>
      <c r="F115" s="3"/>
      <c r="G115" s="3"/>
      <c r="H115" s="3"/>
      <c r="I115" s="3"/>
      <c r="J115" s="3"/>
    </row>
    <row r="116" spans="1:10" s="21" customFormat="1">
      <c r="A116" s="37"/>
      <c r="F116" s="3"/>
      <c r="G116" s="3"/>
      <c r="H116" s="3"/>
      <c r="I116" s="3"/>
      <c r="J116" s="3"/>
    </row>
    <row r="117" spans="1:10" s="21" customFormat="1">
      <c r="A117" s="37"/>
      <c r="F117" s="3"/>
      <c r="G117" s="3"/>
      <c r="H117" s="3"/>
      <c r="I117" s="3"/>
      <c r="J117" s="3"/>
    </row>
    <row r="118" spans="1:10" s="21" customFormat="1">
      <c r="A118" s="37"/>
      <c r="F118" s="3"/>
      <c r="G118" s="3"/>
      <c r="H118" s="3"/>
      <c r="I118" s="3"/>
      <c r="J118" s="3"/>
    </row>
    <row r="119" spans="1:10" s="21" customFormat="1">
      <c r="A119" s="37"/>
      <c r="F119" s="3"/>
      <c r="G119" s="3"/>
      <c r="H119" s="3"/>
      <c r="I119" s="3"/>
      <c r="J119" s="3"/>
    </row>
    <row r="120" spans="1:10" s="21" customFormat="1">
      <c r="A120" s="37"/>
      <c r="F120" s="3"/>
      <c r="G120" s="3"/>
      <c r="H120" s="3"/>
      <c r="I120" s="3"/>
      <c r="J120" s="3"/>
    </row>
    <row r="121" spans="1:10" s="21" customFormat="1">
      <c r="A121" s="37"/>
      <c r="F121" s="3"/>
      <c r="G121" s="3"/>
      <c r="H121" s="3"/>
      <c r="I121" s="3"/>
      <c r="J121" s="3"/>
    </row>
    <row r="122" spans="1:10" s="21" customFormat="1">
      <c r="A122" s="37"/>
      <c r="F122" s="3"/>
      <c r="G122" s="3"/>
      <c r="H122" s="3"/>
      <c r="I122" s="3"/>
      <c r="J122" s="3"/>
    </row>
    <row r="123" spans="1:10" s="21" customFormat="1">
      <c r="A123" s="37"/>
      <c r="F123" s="3"/>
      <c r="G123" s="3"/>
      <c r="H123" s="3"/>
      <c r="I123" s="3"/>
      <c r="J123" s="3"/>
    </row>
    <row r="124" spans="1:10" s="21" customFormat="1">
      <c r="A124" s="37"/>
      <c r="F124" s="3"/>
      <c r="G124" s="3"/>
      <c r="H124" s="3"/>
      <c r="I124" s="3"/>
      <c r="J124" s="3"/>
    </row>
    <row r="125" spans="1:10" s="21" customFormat="1">
      <c r="A125" s="37"/>
      <c r="F125" s="3"/>
      <c r="G125" s="3"/>
      <c r="H125" s="3"/>
      <c r="I125" s="3"/>
      <c r="J125" s="3"/>
    </row>
    <row r="126" spans="1:10" s="21" customFormat="1">
      <c r="A126" s="37"/>
      <c r="F126" s="3"/>
      <c r="G126" s="3"/>
      <c r="H126" s="3"/>
      <c r="I126" s="3"/>
      <c r="J126" s="3"/>
    </row>
    <row r="127" spans="1:10" s="21" customFormat="1">
      <c r="A127" s="37"/>
      <c r="F127" s="3"/>
      <c r="G127" s="3"/>
      <c r="H127" s="3"/>
      <c r="I127" s="3"/>
      <c r="J127" s="3"/>
    </row>
    <row r="128" spans="1:10" s="21" customFormat="1">
      <c r="A128" s="37"/>
      <c r="F128" s="3"/>
      <c r="G128" s="3"/>
      <c r="H128" s="3"/>
      <c r="I128" s="3"/>
      <c r="J128" s="3"/>
    </row>
    <row r="129" spans="1:10" s="21" customFormat="1">
      <c r="A129" s="37"/>
      <c r="F129" s="3"/>
      <c r="G129" s="3"/>
      <c r="H129" s="3"/>
      <c r="I129" s="3"/>
      <c r="J129" s="3"/>
    </row>
    <row r="130" spans="1:10" s="21" customFormat="1">
      <c r="A130" s="37"/>
      <c r="F130" s="3"/>
      <c r="G130" s="3"/>
      <c r="H130" s="3"/>
      <c r="I130" s="3"/>
      <c r="J130" s="3"/>
    </row>
    <row r="131" spans="1:10" s="21" customFormat="1">
      <c r="A131" s="37"/>
      <c r="F131" s="3"/>
      <c r="G131" s="3"/>
      <c r="H131" s="3"/>
      <c r="I131" s="3"/>
      <c r="J131" s="3"/>
    </row>
    <row r="132" spans="1:10" s="21" customFormat="1">
      <c r="A132" s="37"/>
      <c r="F132" s="3"/>
      <c r="G132" s="3"/>
      <c r="H132" s="3"/>
      <c r="I132" s="3"/>
      <c r="J132" s="3"/>
    </row>
    <row r="133" spans="1:10" s="21" customFormat="1">
      <c r="A133" s="37"/>
      <c r="F133" s="3"/>
      <c r="G133" s="3"/>
      <c r="H133" s="3"/>
      <c r="I133" s="3"/>
      <c r="J133" s="3"/>
    </row>
    <row r="134" spans="1:10" s="21" customFormat="1">
      <c r="A134" s="37"/>
      <c r="F134" s="3"/>
      <c r="G134" s="3"/>
      <c r="H134" s="3"/>
      <c r="I134" s="3"/>
      <c r="J134" s="3"/>
    </row>
    <row r="135" spans="1:10" s="21" customFormat="1">
      <c r="A135" s="37"/>
      <c r="F135" s="3"/>
      <c r="G135" s="3"/>
      <c r="H135" s="3"/>
      <c r="I135" s="3"/>
      <c r="J135" s="3"/>
    </row>
    <row r="136" spans="1:10" s="21" customFormat="1">
      <c r="A136" s="37"/>
      <c r="F136" s="3"/>
      <c r="G136" s="3"/>
      <c r="H136" s="3"/>
      <c r="I136" s="3"/>
      <c r="J136" s="3"/>
    </row>
    <row r="137" spans="1:10" s="21" customFormat="1">
      <c r="A137" s="37"/>
      <c r="F137" s="3"/>
      <c r="G137" s="3"/>
      <c r="H137" s="3"/>
      <c r="I137" s="3"/>
      <c r="J137" s="3"/>
    </row>
    <row r="138" spans="1:10" s="21" customFormat="1">
      <c r="A138" s="37"/>
      <c r="F138" s="3"/>
      <c r="G138" s="3"/>
      <c r="H138" s="3"/>
      <c r="I138" s="3"/>
      <c r="J138" s="3"/>
    </row>
    <row r="139" spans="1:10" s="21" customFormat="1">
      <c r="A139" s="37"/>
      <c r="F139" s="3"/>
      <c r="G139" s="3"/>
      <c r="H139" s="3"/>
      <c r="I139" s="3"/>
      <c r="J139" s="3"/>
    </row>
    <row r="140" spans="1:10" s="21" customFormat="1">
      <c r="A140" s="37"/>
      <c r="F140" s="3"/>
      <c r="G140" s="3"/>
      <c r="H140" s="3"/>
      <c r="I140" s="3"/>
      <c r="J140" s="3"/>
    </row>
    <row r="141" spans="1:10" s="21" customFormat="1">
      <c r="A141" s="37"/>
      <c r="F141" s="3"/>
      <c r="G141" s="3"/>
      <c r="H141" s="3"/>
      <c r="I141" s="3"/>
      <c r="J141" s="3"/>
    </row>
    <row r="142" spans="1:10" s="21" customFormat="1">
      <c r="A142" s="37"/>
      <c r="F142" s="3"/>
      <c r="G142" s="3"/>
      <c r="H142" s="3"/>
      <c r="I142" s="3"/>
      <c r="J142" s="3"/>
    </row>
    <row r="143" spans="1:10" s="21" customFormat="1">
      <c r="A143" s="37"/>
      <c r="F143" s="3"/>
      <c r="G143" s="3"/>
      <c r="H143" s="3"/>
      <c r="I143" s="3"/>
      <c r="J143" s="3"/>
    </row>
    <row r="144" spans="1:10" s="21" customFormat="1">
      <c r="A144" s="37"/>
      <c r="F144" s="3"/>
      <c r="G144" s="3"/>
      <c r="H144" s="3"/>
      <c r="I144" s="3"/>
      <c r="J144" s="3"/>
    </row>
    <row r="145" spans="1:10" s="21" customFormat="1">
      <c r="A145" s="37"/>
      <c r="F145" s="3"/>
      <c r="G145" s="3"/>
      <c r="H145" s="3"/>
      <c r="I145" s="3"/>
      <c r="J145" s="3"/>
    </row>
    <row r="146" spans="1:10" s="21" customFormat="1">
      <c r="A146" s="37"/>
      <c r="F146" s="3"/>
      <c r="G146" s="3"/>
      <c r="H146" s="3"/>
      <c r="I146" s="3"/>
      <c r="J146" s="3"/>
    </row>
    <row r="147" spans="1:10" s="21" customFormat="1">
      <c r="A147" s="37"/>
      <c r="F147" s="3"/>
      <c r="G147" s="3"/>
      <c r="H147" s="3"/>
      <c r="I147" s="3"/>
      <c r="J147" s="3"/>
    </row>
    <row r="148" spans="1:10" s="21" customFormat="1">
      <c r="A148" s="37"/>
      <c r="F148" s="3"/>
      <c r="G148" s="3"/>
      <c r="H148" s="3"/>
      <c r="I148" s="3"/>
      <c r="J148" s="3"/>
    </row>
    <row r="149" spans="1:10" s="21" customFormat="1">
      <c r="A149" s="37"/>
      <c r="F149" s="3"/>
      <c r="G149" s="3"/>
      <c r="H149" s="3"/>
      <c r="I149" s="3"/>
      <c r="J149" s="3"/>
    </row>
    <row r="150" spans="1:10" s="21" customFormat="1">
      <c r="A150" s="37"/>
      <c r="F150" s="3"/>
      <c r="G150" s="3"/>
      <c r="H150" s="3"/>
      <c r="I150" s="3"/>
      <c r="J150" s="3"/>
    </row>
    <row r="151" spans="1:10" s="21" customFormat="1">
      <c r="A151" s="37"/>
      <c r="F151" s="3"/>
      <c r="G151" s="3"/>
      <c r="H151" s="3"/>
      <c r="I151" s="3"/>
      <c r="J151" s="3"/>
    </row>
    <row r="152" spans="1:10" s="21" customFormat="1">
      <c r="A152" s="37"/>
      <c r="F152" s="3"/>
      <c r="G152" s="3"/>
      <c r="H152" s="3"/>
      <c r="I152" s="3"/>
      <c r="J152" s="3"/>
    </row>
    <row r="153" spans="1:10" s="21" customFormat="1">
      <c r="A153" s="37"/>
      <c r="F153" s="3"/>
      <c r="G153" s="3"/>
      <c r="H153" s="3"/>
      <c r="I153" s="3"/>
      <c r="J153" s="3"/>
    </row>
    <row r="154" spans="1:10" s="21" customFormat="1">
      <c r="A154" s="37"/>
      <c r="F154" s="3"/>
      <c r="G154" s="3"/>
      <c r="H154" s="3"/>
      <c r="I154" s="3"/>
      <c r="J154" s="3"/>
    </row>
    <row r="155" spans="1:10" s="21" customFormat="1">
      <c r="A155" s="37"/>
      <c r="F155" s="3"/>
      <c r="G155" s="3"/>
      <c r="H155" s="3"/>
      <c r="I155" s="3"/>
      <c r="J155" s="3"/>
    </row>
    <row r="156" spans="1:10" s="21" customFormat="1">
      <c r="A156" s="37"/>
      <c r="F156" s="3"/>
      <c r="G156" s="3"/>
      <c r="H156" s="3"/>
      <c r="I156" s="3"/>
      <c r="J156" s="3"/>
    </row>
    <row r="157" spans="1:10" s="21" customFormat="1">
      <c r="A157" s="37"/>
      <c r="F157" s="3"/>
      <c r="G157" s="3"/>
      <c r="H157" s="3"/>
      <c r="I157" s="3"/>
      <c r="J157" s="3"/>
    </row>
    <row r="158" spans="1:10" s="21" customFormat="1">
      <c r="A158" s="37"/>
      <c r="F158" s="3"/>
      <c r="G158" s="3"/>
      <c r="H158" s="3"/>
      <c r="I158" s="3"/>
      <c r="J158" s="3"/>
    </row>
    <row r="159" spans="1:10" s="21" customFormat="1">
      <c r="A159" s="37"/>
      <c r="F159" s="3"/>
      <c r="G159" s="3"/>
      <c r="H159" s="3"/>
      <c r="I159" s="3"/>
      <c r="J159" s="3"/>
    </row>
    <row r="160" spans="1:10" s="21" customFormat="1">
      <c r="A160" s="37"/>
      <c r="F160" s="3"/>
      <c r="G160" s="3"/>
      <c r="H160" s="3"/>
      <c r="I160" s="3"/>
      <c r="J160" s="3"/>
    </row>
    <row r="161" spans="1:10" s="21" customFormat="1">
      <c r="A161" s="37"/>
      <c r="F161" s="3"/>
      <c r="G161" s="3"/>
      <c r="H161" s="3"/>
      <c r="I161" s="3"/>
      <c r="J161" s="3"/>
    </row>
    <row r="162" spans="1:10" s="21" customFormat="1">
      <c r="A162" s="37"/>
      <c r="F162" s="3"/>
      <c r="G162" s="3"/>
      <c r="H162" s="3"/>
      <c r="I162" s="3"/>
      <c r="J162" s="3"/>
    </row>
    <row r="163" spans="1:10" s="21" customFormat="1">
      <c r="A163" s="37"/>
      <c r="F163" s="3"/>
      <c r="G163" s="3"/>
      <c r="H163" s="3"/>
      <c r="I163" s="3"/>
      <c r="J163" s="3"/>
    </row>
    <row r="164" spans="1:10" s="21" customFormat="1">
      <c r="A164" s="37"/>
      <c r="F164" s="3"/>
      <c r="G164" s="3"/>
      <c r="H164" s="3"/>
      <c r="I164" s="3"/>
      <c r="J164" s="3"/>
    </row>
    <row r="165" spans="1:10" s="21" customFormat="1">
      <c r="A165" s="37"/>
      <c r="F165" s="3"/>
      <c r="G165" s="3"/>
      <c r="H165" s="3"/>
      <c r="I165" s="3"/>
      <c r="J165" s="3"/>
    </row>
    <row r="166" spans="1:10" s="21" customFormat="1">
      <c r="A166" s="37"/>
      <c r="F166" s="3"/>
      <c r="G166" s="3"/>
      <c r="H166" s="3"/>
      <c r="I166" s="3"/>
      <c r="J166" s="3"/>
    </row>
    <row r="167" spans="1:10" s="21" customFormat="1">
      <c r="A167" s="37"/>
      <c r="F167" s="3"/>
      <c r="G167" s="3"/>
      <c r="H167" s="3"/>
      <c r="I167" s="3"/>
      <c r="J167" s="3"/>
    </row>
    <row r="168" spans="1:10" s="21" customFormat="1">
      <c r="A168" s="37"/>
      <c r="F168" s="3"/>
      <c r="G168" s="3"/>
      <c r="H168" s="3"/>
      <c r="I168" s="3"/>
      <c r="J168" s="3"/>
    </row>
    <row r="169" spans="1:10" s="21" customFormat="1">
      <c r="A169" s="37"/>
      <c r="F169" s="3"/>
      <c r="G169" s="3"/>
      <c r="H169" s="3"/>
      <c r="I169" s="3"/>
      <c r="J169" s="3"/>
    </row>
    <row r="170" spans="1:10" s="21" customFormat="1">
      <c r="A170" s="37"/>
      <c r="F170" s="3"/>
      <c r="G170" s="3"/>
      <c r="H170" s="3"/>
      <c r="I170" s="3"/>
      <c r="J170" s="3"/>
    </row>
    <row r="171" spans="1:10" s="21" customFormat="1">
      <c r="A171" s="37"/>
      <c r="F171" s="3"/>
      <c r="G171" s="3"/>
      <c r="H171" s="3"/>
      <c r="I171" s="3"/>
      <c r="J171" s="3"/>
    </row>
    <row r="172" spans="1:10" s="21" customFormat="1">
      <c r="A172" s="37"/>
      <c r="F172" s="3"/>
      <c r="G172" s="3"/>
      <c r="H172" s="3"/>
      <c r="I172" s="3"/>
      <c r="J172" s="3"/>
    </row>
    <row r="173" spans="1:10" s="21" customFormat="1">
      <c r="A173" s="37"/>
      <c r="F173" s="3"/>
      <c r="G173" s="3"/>
      <c r="H173" s="3"/>
      <c r="I173" s="3"/>
      <c r="J173" s="3"/>
    </row>
    <row r="174" spans="1:10" s="21" customFormat="1">
      <c r="A174" s="37"/>
      <c r="F174" s="3"/>
      <c r="G174" s="3"/>
      <c r="H174" s="3"/>
      <c r="I174" s="3"/>
      <c r="J174" s="3"/>
    </row>
    <row r="175" spans="1:10" s="21" customFormat="1">
      <c r="A175" s="37"/>
      <c r="F175" s="3"/>
      <c r="G175" s="3"/>
      <c r="H175" s="3"/>
      <c r="I175" s="3"/>
      <c r="J175" s="3"/>
    </row>
    <row r="176" spans="1:10" s="21" customFormat="1">
      <c r="A176" s="37"/>
      <c r="F176" s="3"/>
      <c r="G176" s="3"/>
      <c r="H176" s="3"/>
      <c r="I176" s="3"/>
      <c r="J176" s="3"/>
    </row>
    <row r="177" spans="1:10" s="21" customFormat="1">
      <c r="A177" s="37"/>
      <c r="F177" s="3"/>
      <c r="G177" s="3"/>
      <c r="H177" s="3"/>
      <c r="I177" s="3"/>
      <c r="J177" s="3"/>
    </row>
    <row r="178" spans="1:10" s="21" customFormat="1">
      <c r="A178" s="37"/>
      <c r="F178" s="3"/>
      <c r="G178" s="3"/>
      <c r="H178" s="3"/>
      <c r="I178" s="3"/>
      <c r="J178" s="3"/>
    </row>
    <row r="179" spans="1:10" s="21" customFormat="1">
      <c r="A179" s="37"/>
      <c r="F179" s="3"/>
      <c r="G179" s="3"/>
      <c r="H179" s="3"/>
      <c r="I179" s="3"/>
      <c r="J179" s="3"/>
    </row>
    <row r="180" spans="1:10" s="21" customFormat="1">
      <c r="A180" s="37"/>
      <c r="F180" s="3"/>
      <c r="G180" s="3"/>
      <c r="H180" s="3"/>
      <c r="I180" s="3"/>
      <c r="J180" s="3"/>
    </row>
    <row r="181" spans="1:10" s="21" customFormat="1">
      <c r="A181" s="37"/>
      <c r="F181" s="3"/>
      <c r="G181" s="3"/>
      <c r="H181" s="3"/>
      <c r="I181" s="3"/>
      <c r="J181" s="3"/>
    </row>
    <row r="182" spans="1:10" s="21" customFormat="1">
      <c r="A182" s="37"/>
      <c r="F182" s="3"/>
      <c r="G182" s="3"/>
      <c r="H182" s="3"/>
      <c r="I182" s="3"/>
      <c r="J182" s="3"/>
    </row>
    <row r="183" spans="1:10" s="21" customFormat="1">
      <c r="A183" s="37"/>
      <c r="F183" s="3"/>
      <c r="G183" s="3"/>
      <c r="H183" s="3"/>
      <c r="I183" s="3"/>
      <c r="J183" s="3"/>
    </row>
    <row r="184" spans="1:10" s="21" customFormat="1">
      <c r="A184" s="37"/>
      <c r="F184" s="3"/>
      <c r="G184" s="3"/>
      <c r="H184" s="3"/>
      <c r="I184" s="3"/>
      <c r="J184" s="3"/>
    </row>
    <row r="185" spans="1:10" s="21" customFormat="1">
      <c r="A185" s="37"/>
      <c r="F185" s="3"/>
      <c r="G185" s="3"/>
      <c r="H185" s="3"/>
      <c r="I185" s="3"/>
      <c r="J185" s="3"/>
    </row>
    <row r="186" spans="1:10" s="21" customFormat="1">
      <c r="A186" s="37"/>
      <c r="F186" s="3"/>
      <c r="G186" s="3"/>
      <c r="H186" s="3"/>
      <c r="I186" s="3"/>
      <c r="J186" s="3"/>
    </row>
    <row r="187" spans="1:10" s="21" customFormat="1">
      <c r="A187" s="37"/>
      <c r="F187" s="3"/>
      <c r="G187" s="3"/>
      <c r="H187" s="3"/>
      <c r="I187" s="3"/>
      <c r="J187" s="3"/>
    </row>
    <row r="188" spans="1:10" s="21" customFormat="1">
      <c r="A188" s="37"/>
      <c r="F188" s="3"/>
      <c r="G188" s="3"/>
      <c r="H188" s="3"/>
      <c r="I188" s="3"/>
      <c r="J188" s="3"/>
    </row>
    <row r="189" spans="1:10" s="21" customFormat="1">
      <c r="A189" s="37"/>
      <c r="F189" s="3"/>
      <c r="G189" s="3"/>
      <c r="H189" s="3"/>
      <c r="I189" s="3"/>
      <c r="J189" s="3"/>
    </row>
    <row r="190" spans="1:10" s="21" customFormat="1">
      <c r="A190" s="37"/>
      <c r="F190" s="3"/>
      <c r="G190" s="3"/>
      <c r="H190" s="3"/>
      <c r="I190" s="3"/>
      <c r="J190" s="3"/>
    </row>
    <row r="191" spans="1:10" s="21" customFormat="1">
      <c r="A191" s="37"/>
      <c r="F191" s="3"/>
      <c r="G191" s="3"/>
      <c r="H191" s="3"/>
      <c r="I191" s="3"/>
      <c r="J191" s="3"/>
    </row>
    <row r="192" spans="1:10" s="21" customFormat="1">
      <c r="A192" s="37"/>
      <c r="F192" s="3"/>
      <c r="G192" s="3"/>
      <c r="H192" s="3"/>
      <c r="I192" s="3"/>
      <c r="J192" s="3"/>
    </row>
    <row r="193" spans="1:10" s="21" customFormat="1">
      <c r="A193" s="37"/>
      <c r="F193" s="3"/>
      <c r="G193" s="3"/>
      <c r="H193" s="3"/>
      <c r="I193" s="3"/>
      <c r="J193" s="3"/>
    </row>
    <row r="194" spans="1:10" s="21" customFormat="1">
      <c r="A194" s="37"/>
      <c r="F194" s="3"/>
      <c r="G194" s="3"/>
      <c r="H194" s="3"/>
      <c r="I194" s="3"/>
      <c r="J194" s="3"/>
    </row>
    <row r="195" spans="1:10" s="21" customFormat="1">
      <c r="A195" s="37"/>
      <c r="F195" s="3"/>
      <c r="G195" s="3"/>
      <c r="H195" s="3"/>
      <c r="I195" s="3"/>
      <c r="J195" s="3"/>
    </row>
    <row r="196" spans="1:10" s="21" customFormat="1">
      <c r="A196" s="37"/>
      <c r="F196" s="3"/>
      <c r="G196" s="3"/>
      <c r="H196" s="3"/>
      <c r="I196" s="3"/>
      <c r="J196" s="3"/>
    </row>
    <row r="197" spans="1:10" s="21" customFormat="1">
      <c r="A197" s="37"/>
      <c r="F197" s="3"/>
      <c r="G197" s="3"/>
      <c r="H197" s="3"/>
      <c r="I197" s="3"/>
      <c r="J197" s="3"/>
    </row>
    <row r="198" spans="1:10" s="21" customFormat="1">
      <c r="A198" s="37"/>
      <c r="F198" s="3"/>
      <c r="G198" s="3"/>
      <c r="H198" s="3"/>
      <c r="I198" s="3"/>
      <c r="J198" s="3"/>
    </row>
    <row r="199" spans="1:10" s="21" customFormat="1">
      <c r="A199" s="37"/>
      <c r="F199" s="3"/>
      <c r="G199" s="3"/>
      <c r="H199" s="3"/>
      <c r="I199" s="3"/>
      <c r="J199" s="3"/>
    </row>
    <row r="200" spans="1:10" s="21" customFormat="1">
      <c r="A200" s="37"/>
      <c r="F200" s="3"/>
      <c r="G200" s="3"/>
      <c r="H200" s="3"/>
      <c r="I200" s="3"/>
      <c r="J200" s="3"/>
    </row>
    <row r="201" spans="1:10" s="21" customFormat="1">
      <c r="A201" s="37"/>
      <c r="F201" s="3"/>
      <c r="G201" s="3"/>
      <c r="H201" s="3"/>
      <c r="I201" s="3"/>
      <c r="J201" s="3"/>
    </row>
    <row r="202" spans="1:10" s="21" customFormat="1">
      <c r="A202" s="37"/>
      <c r="F202" s="3"/>
      <c r="G202" s="3"/>
      <c r="H202" s="3"/>
      <c r="I202" s="3"/>
      <c r="J202" s="3"/>
    </row>
    <row r="203" spans="1:10" s="21" customFormat="1">
      <c r="A203" s="37"/>
      <c r="F203" s="3"/>
      <c r="G203" s="3"/>
      <c r="H203" s="3"/>
      <c r="I203" s="3"/>
      <c r="J203" s="3"/>
    </row>
    <row r="204" spans="1:10" s="21" customFormat="1">
      <c r="A204" s="37"/>
      <c r="F204" s="3"/>
      <c r="G204" s="3"/>
      <c r="H204" s="3"/>
      <c r="I204" s="3"/>
      <c r="J204" s="3"/>
    </row>
    <row r="205" spans="1:10" s="21" customFormat="1">
      <c r="A205" s="37"/>
      <c r="F205" s="3"/>
      <c r="G205" s="3"/>
      <c r="H205" s="3"/>
      <c r="I205" s="3"/>
      <c r="J205" s="3"/>
    </row>
    <row r="206" spans="1:10" s="21" customFormat="1">
      <c r="A206" s="37"/>
      <c r="F206" s="3"/>
      <c r="G206" s="3"/>
      <c r="H206" s="3"/>
      <c r="I206" s="3"/>
      <c r="J206" s="3"/>
    </row>
    <row r="207" spans="1:10" s="21" customFormat="1">
      <c r="A207" s="37"/>
      <c r="F207" s="3"/>
      <c r="G207" s="3"/>
      <c r="H207" s="3"/>
      <c r="I207" s="3"/>
      <c r="J207" s="3"/>
    </row>
    <row r="208" spans="1:10" s="21" customFormat="1">
      <c r="A208" s="37"/>
      <c r="F208" s="3"/>
      <c r="G208" s="3"/>
      <c r="H208" s="3"/>
      <c r="I208" s="3"/>
      <c r="J208" s="3"/>
    </row>
    <row r="209" spans="1:10" s="21" customFormat="1">
      <c r="A209" s="37"/>
      <c r="F209" s="3"/>
      <c r="G209" s="3"/>
      <c r="H209" s="3"/>
      <c r="I209" s="3"/>
      <c r="J209" s="3"/>
    </row>
    <row r="210" spans="1:10" s="21" customFormat="1">
      <c r="A210" s="37"/>
      <c r="F210" s="3"/>
      <c r="G210" s="3"/>
      <c r="H210" s="3"/>
      <c r="I210" s="3"/>
      <c r="J210" s="3"/>
    </row>
    <row r="211" spans="1:10" s="21" customFormat="1">
      <c r="A211" s="37"/>
      <c r="F211" s="3"/>
      <c r="G211" s="3"/>
      <c r="H211" s="3"/>
      <c r="I211" s="3"/>
      <c r="J211" s="3"/>
    </row>
    <row r="212" spans="1:10" s="21" customFormat="1">
      <c r="A212" s="37"/>
      <c r="F212" s="3"/>
      <c r="G212" s="3"/>
      <c r="H212" s="3"/>
      <c r="I212" s="3"/>
      <c r="J212" s="3"/>
    </row>
    <row r="213" spans="1:10" s="21" customFormat="1">
      <c r="A213" s="37"/>
      <c r="F213" s="3"/>
      <c r="G213" s="3"/>
      <c r="H213" s="3"/>
      <c r="I213" s="3"/>
      <c r="J213" s="3"/>
    </row>
    <row r="214" spans="1:10" s="21" customFormat="1">
      <c r="A214" s="37"/>
      <c r="F214" s="3"/>
      <c r="G214" s="3"/>
      <c r="H214" s="3"/>
      <c r="I214" s="3"/>
      <c r="J214" s="3"/>
    </row>
    <row r="215" spans="1:10" s="21" customFormat="1">
      <c r="A215" s="37"/>
      <c r="F215" s="3"/>
      <c r="G215" s="3"/>
      <c r="H215" s="3"/>
      <c r="I215" s="3"/>
      <c r="J215" s="3"/>
    </row>
    <row r="216" spans="1:10" s="21" customFormat="1">
      <c r="A216" s="37"/>
      <c r="F216" s="3"/>
      <c r="G216" s="3"/>
      <c r="H216" s="3"/>
      <c r="I216" s="3"/>
      <c r="J216" s="3"/>
    </row>
    <row r="217" spans="1:10" s="21" customFormat="1">
      <c r="A217" s="37"/>
      <c r="F217" s="3"/>
      <c r="G217" s="3"/>
      <c r="H217" s="3"/>
      <c r="I217" s="3"/>
      <c r="J217" s="3"/>
    </row>
    <row r="218" spans="1:10" s="21" customFormat="1">
      <c r="A218" s="37"/>
      <c r="F218" s="3"/>
      <c r="G218" s="3"/>
      <c r="H218" s="3"/>
      <c r="I218" s="3"/>
      <c r="J218" s="3"/>
    </row>
    <row r="219" spans="1:10" s="21" customFormat="1">
      <c r="A219" s="37"/>
      <c r="F219" s="3"/>
      <c r="G219" s="3"/>
      <c r="H219" s="3"/>
      <c r="I219" s="3"/>
      <c r="J219" s="3"/>
    </row>
    <row r="220" spans="1:10" s="21" customFormat="1">
      <c r="A220" s="37"/>
      <c r="F220" s="3"/>
      <c r="G220" s="3"/>
      <c r="H220" s="3"/>
      <c r="I220" s="3"/>
      <c r="J220" s="3"/>
    </row>
    <row r="221" spans="1:10" s="21" customFormat="1">
      <c r="A221" s="37"/>
      <c r="F221" s="3"/>
      <c r="G221" s="3"/>
      <c r="H221" s="3"/>
      <c r="I221" s="3"/>
      <c r="J221" s="3"/>
    </row>
  </sheetData>
  <mergeCells count="20">
    <mergeCell ref="A31:J31"/>
    <mergeCell ref="A48:J48"/>
    <mergeCell ref="E12:E13"/>
    <mergeCell ref="D12:D13"/>
    <mergeCell ref="A8:J8"/>
    <mergeCell ref="A7:J7"/>
    <mergeCell ref="A10:J10"/>
    <mergeCell ref="A6:J6"/>
    <mergeCell ref="C52:F52"/>
    <mergeCell ref="H52:J52"/>
    <mergeCell ref="A12:A13"/>
    <mergeCell ref="B12:B13"/>
    <mergeCell ref="F12:F13"/>
    <mergeCell ref="G12:J12"/>
    <mergeCell ref="C51:F51"/>
    <mergeCell ref="H51:J51"/>
    <mergeCell ref="A46:J46"/>
    <mergeCell ref="A15:J15"/>
    <mergeCell ref="C12:C13"/>
    <mergeCell ref="A39:J39"/>
  </mergeCells>
  <phoneticPr fontId="3" type="noConversion"/>
  <pageMargins left="0.70866141732283472" right="0.31496062992125984" top="0.35433070866141736" bottom="0.15748031496062992" header="0.31496062992125984" footer="0.31496062992125984"/>
  <pageSetup paperSize="9" scale="64" fitToHeight="0" orientation="landscape" verticalDpi="300" r:id="rId1"/>
  <headerFooter alignWithMargins="0">
    <oddHeader xml:space="preserve">&amp;C&amp;"Times New Roman,обычный"&amp;14
&amp;R&amp;"Times New Roman,обычный"&amp;14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66"/>
    <pageSetUpPr fitToPage="1"/>
  </sheetPr>
  <dimension ref="A2:Q388"/>
  <sheetViews>
    <sheetView zoomScale="70" zoomScaleNormal="70" zoomScaleSheetLayoutView="55" workbookViewId="0">
      <selection activeCell="D23" sqref="D23"/>
    </sheetView>
  </sheetViews>
  <sheetFormatPr defaultColWidth="9.140625" defaultRowHeight="18.75" outlineLevelRow="1"/>
  <cols>
    <col min="1" max="1" width="61.85546875" style="373" customWidth="1"/>
    <col min="2" max="2" width="13.28515625" style="21" customWidth="1"/>
    <col min="3" max="9" width="16.28515625" style="21" customWidth="1"/>
    <col min="10" max="10" width="18" style="21" customWidth="1"/>
    <col min="11" max="11" width="16.85546875" style="373" hidden="1" customWidth="1"/>
    <col min="12" max="12" width="12.140625" style="282" hidden="1" customWidth="1"/>
    <col min="13" max="13" width="11.28515625" style="373" hidden="1" customWidth="1"/>
    <col min="14" max="14" width="12.42578125" style="373" hidden="1" customWidth="1"/>
    <col min="15" max="17" width="9.140625" style="373" hidden="1" customWidth="1"/>
    <col min="18" max="18" width="9.140625" style="373" customWidth="1"/>
    <col min="19" max="16384" width="9.140625" style="373"/>
  </cols>
  <sheetData>
    <row r="2" spans="1:12">
      <c r="A2" s="369"/>
      <c r="B2" s="369"/>
      <c r="C2" s="369"/>
      <c r="D2" s="369"/>
      <c r="E2" s="369"/>
      <c r="F2" s="369"/>
      <c r="G2" s="369"/>
      <c r="H2" s="369"/>
      <c r="I2" s="369"/>
      <c r="J2" s="369"/>
    </row>
    <row r="4" spans="1:12" ht="18.75" customHeight="1">
      <c r="A4" s="568" t="s">
        <v>199</v>
      </c>
      <c r="B4" s="568"/>
      <c r="C4" s="568"/>
      <c r="D4" s="568"/>
      <c r="E4" s="568"/>
      <c r="F4" s="568"/>
      <c r="G4" s="568"/>
      <c r="H4" s="568"/>
      <c r="I4" s="568"/>
      <c r="J4" s="568"/>
    </row>
    <row r="5" spans="1:12">
      <c r="A5" s="377"/>
      <c r="B5" s="40"/>
      <c r="C5" s="377"/>
      <c r="D5" s="377"/>
      <c r="E5" s="377"/>
      <c r="F5" s="377"/>
      <c r="G5" s="377"/>
      <c r="H5" s="377"/>
      <c r="I5" s="377"/>
      <c r="J5" s="377"/>
    </row>
    <row r="6" spans="1:12" ht="36" customHeight="1">
      <c r="A6" s="555" t="s">
        <v>196</v>
      </c>
      <c r="B6" s="556" t="s">
        <v>7</v>
      </c>
      <c r="C6" s="556" t="s">
        <v>17</v>
      </c>
      <c r="D6" s="563" t="s">
        <v>287</v>
      </c>
      <c r="E6" s="563" t="s">
        <v>283</v>
      </c>
      <c r="F6" s="556" t="s">
        <v>9</v>
      </c>
      <c r="G6" s="556" t="s">
        <v>284</v>
      </c>
      <c r="H6" s="556"/>
      <c r="I6" s="556"/>
      <c r="J6" s="556"/>
    </row>
    <row r="7" spans="1:12" ht="55.7" customHeight="1">
      <c r="A7" s="555"/>
      <c r="B7" s="556"/>
      <c r="C7" s="556"/>
      <c r="D7" s="569"/>
      <c r="E7" s="569"/>
      <c r="F7" s="556"/>
      <c r="G7" s="378" t="s">
        <v>155</v>
      </c>
      <c r="H7" s="378" t="s">
        <v>156</v>
      </c>
      <c r="I7" s="378" t="s">
        <v>157</v>
      </c>
      <c r="J7" s="378" t="s">
        <v>61</v>
      </c>
    </row>
    <row r="8" spans="1:12" ht="18" customHeight="1">
      <c r="A8" s="371">
        <v>1</v>
      </c>
      <c r="B8" s="372">
        <v>2</v>
      </c>
      <c r="C8" s="372">
        <v>3</v>
      </c>
      <c r="D8" s="372">
        <v>4</v>
      </c>
      <c r="E8" s="372">
        <v>5</v>
      </c>
      <c r="F8" s="372">
        <v>6</v>
      </c>
      <c r="G8" s="372">
        <v>7</v>
      </c>
      <c r="H8" s="372">
        <v>8</v>
      </c>
      <c r="I8" s="372">
        <v>9</v>
      </c>
      <c r="J8" s="372">
        <v>10</v>
      </c>
    </row>
    <row r="9" spans="1:12" s="5" customFormat="1" ht="52.5" customHeight="1">
      <c r="A9" s="570" t="s">
        <v>234</v>
      </c>
      <c r="B9" s="570"/>
      <c r="C9" s="570"/>
      <c r="D9" s="570"/>
      <c r="E9" s="570"/>
      <c r="F9" s="570"/>
      <c r="G9" s="570"/>
      <c r="H9" s="570"/>
      <c r="I9" s="570"/>
      <c r="J9" s="570"/>
      <c r="L9" s="283"/>
    </row>
    <row r="10" spans="1:12" s="5" customFormat="1" ht="47.65" customHeight="1">
      <c r="A10" s="226" t="s">
        <v>235</v>
      </c>
      <c r="B10" s="227">
        <v>1000</v>
      </c>
      <c r="C10" s="207">
        <f>C11+C12+C14+C30</f>
        <v>41668.800000000003</v>
      </c>
      <c r="D10" s="207">
        <f t="shared" ref="D10:J10" si="0">D11+D12+D14+D30</f>
        <v>55832.999999999993</v>
      </c>
      <c r="E10" s="207">
        <f t="shared" si="0"/>
        <v>61115</v>
      </c>
      <c r="F10" s="207">
        <f t="shared" si="0"/>
        <v>96345.5</v>
      </c>
      <c r="G10" s="207">
        <f t="shared" si="0"/>
        <v>17042.099999999999</v>
      </c>
      <c r="H10" s="207">
        <f t="shared" si="0"/>
        <v>21158.100000000002</v>
      </c>
      <c r="I10" s="207">
        <f t="shared" si="0"/>
        <v>26698.499999999996</v>
      </c>
      <c r="J10" s="207">
        <f t="shared" si="0"/>
        <v>31446.800000000003</v>
      </c>
      <c r="K10" s="278"/>
      <c r="L10" s="283"/>
    </row>
    <row r="11" spans="1:12" s="5" customFormat="1" ht="26.25" customHeight="1">
      <c r="A11" s="200" t="s">
        <v>238</v>
      </c>
      <c r="B11" s="372">
        <v>1010</v>
      </c>
      <c r="C11" s="211"/>
      <c r="D11" s="211"/>
      <c r="E11" s="211"/>
      <c r="F11" s="211">
        <f>I11+J11</f>
        <v>0</v>
      </c>
      <c r="G11" s="211"/>
      <c r="H11" s="211"/>
      <c r="I11" s="211"/>
      <c r="J11" s="211"/>
      <c r="K11" s="279"/>
      <c r="L11" s="283"/>
    </row>
    <row r="12" spans="1:12" s="5" customFormat="1" ht="27" customHeight="1">
      <c r="A12" s="242" t="s">
        <v>239</v>
      </c>
      <c r="B12" s="243">
        <v>1011</v>
      </c>
      <c r="C12" s="228">
        <f>SUM(C13:C13)</f>
        <v>0</v>
      </c>
      <c r="D12" s="228">
        <f>D13</f>
        <v>0</v>
      </c>
      <c r="E12" s="228">
        <f t="shared" ref="E12:J12" si="1">E13</f>
        <v>0</v>
      </c>
      <c r="F12" s="228">
        <f t="shared" si="1"/>
        <v>41462</v>
      </c>
      <c r="G12" s="228">
        <f t="shared" si="1"/>
        <v>0</v>
      </c>
      <c r="H12" s="228">
        <f t="shared" si="1"/>
        <v>11881.4</v>
      </c>
      <c r="I12" s="228">
        <f t="shared" si="1"/>
        <v>14184.3</v>
      </c>
      <c r="J12" s="228">
        <f t="shared" si="1"/>
        <v>15396.3</v>
      </c>
      <c r="K12" s="280"/>
      <c r="L12" s="283"/>
    </row>
    <row r="13" spans="1:12" s="216" customFormat="1" ht="26.25" customHeight="1">
      <c r="A13" s="111" t="s">
        <v>369</v>
      </c>
      <c r="B13" s="215" t="s">
        <v>311</v>
      </c>
      <c r="C13" s="201"/>
      <c r="D13" s="201"/>
      <c r="E13" s="201"/>
      <c r="F13" s="201">
        <f>G13+H13+I13+J13</f>
        <v>41462</v>
      </c>
      <c r="G13" s="272"/>
      <c r="H13" s="272">
        <v>11881.4</v>
      </c>
      <c r="I13" s="272">
        <v>14184.3</v>
      </c>
      <c r="J13" s="272">
        <v>15396.3</v>
      </c>
      <c r="K13" s="281"/>
      <c r="L13" s="284"/>
    </row>
    <row r="14" spans="1:12" s="5" customFormat="1" ht="29.45" customHeight="1">
      <c r="A14" s="242" t="s">
        <v>240</v>
      </c>
      <c r="B14" s="243">
        <v>1012</v>
      </c>
      <c r="C14" s="228">
        <f>SUM(C17:C29)+C15</f>
        <v>41668.800000000003</v>
      </c>
      <c r="D14" s="228">
        <f t="shared" ref="D14:J14" si="2">SUM(D17:D29)+D15</f>
        <v>55832.999999999993</v>
      </c>
      <c r="E14" s="228">
        <f t="shared" si="2"/>
        <v>59240.6</v>
      </c>
      <c r="F14" s="228">
        <f t="shared" si="2"/>
        <v>51962.3</v>
      </c>
      <c r="G14" s="228">
        <f t="shared" si="2"/>
        <v>16042.3</v>
      </c>
      <c r="H14" s="228">
        <f t="shared" si="2"/>
        <v>8503</v>
      </c>
      <c r="I14" s="228">
        <f t="shared" si="2"/>
        <v>11937.9</v>
      </c>
      <c r="J14" s="228">
        <f t="shared" si="2"/>
        <v>15479.1</v>
      </c>
      <c r="K14" s="5">
        <f>41668.8</f>
        <v>41668.800000000003</v>
      </c>
      <c r="L14" s="283"/>
    </row>
    <row r="15" spans="1:12" s="216" customFormat="1" ht="41.45" customHeight="1">
      <c r="A15" s="111" t="s">
        <v>368</v>
      </c>
      <c r="B15" s="215" t="s">
        <v>312</v>
      </c>
      <c r="C15" s="201">
        <v>1820.3</v>
      </c>
      <c r="D15" s="201">
        <v>2760.6</v>
      </c>
      <c r="E15" s="201">
        <f>4329.5-29.9</f>
        <v>4299.6000000000004</v>
      </c>
      <c r="F15" s="201">
        <f>G15+H15+I15+J15</f>
        <v>4309.8</v>
      </c>
      <c r="G15" s="272">
        <v>1057.5</v>
      </c>
      <c r="H15" s="272">
        <v>737.9</v>
      </c>
      <c r="I15" s="272">
        <v>365.5</v>
      </c>
      <c r="J15" s="272">
        <v>2148.9</v>
      </c>
      <c r="K15" s="216">
        <f>F15/E15*100</f>
        <v>100.23723137036002</v>
      </c>
      <c r="L15" s="284"/>
    </row>
    <row r="16" spans="1:12" s="216" customFormat="1" ht="27" customHeight="1">
      <c r="A16" s="111" t="s">
        <v>367</v>
      </c>
      <c r="B16" s="215" t="s">
        <v>313</v>
      </c>
      <c r="C16" s="201">
        <f>SUM(C17:C23)</f>
        <v>0</v>
      </c>
      <c r="D16" s="201">
        <f>SUM(D17:D23)</f>
        <v>0</v>
      </c>
      <c r="E16" s="201">
        <f t="shared" ref="E16:J16" si="3">SUM(E17:E23)</f>
        <v>0</v>
      </c>
      <c r="F16" s="201">
        <f t="shared" si="3"/>
        <v>0</v>
      </c>
      <c r="G16" s="272">
        <f t="shared" si="3"/>
        <v>0</v>
      </c>
      <c r="H16" s="272">
        <f t="shared" si="3"/>
        <v>0</v>
      </c>
      <c r="I16" s="272">
        <f t="shared" si="3"/>
        <v>0</v>
      </c>
      <c r="J16" s="272">
        <f t="shared" si="3"/>
        <v>0</v>
      </c>
      <c r="L16" s="284"/>
    </row>
    <row r="17" spans="1:14" s="216" customFormat="1" ht="58.9" customHeight="1">
      <c r="A17" s="265" t="s">
        <v>380</v>
      </c>
      <c r="B17" s="215" t="s">
        <v>387</v>
      </c>
      <c r="C17" s="201"/>
      <c r="D17" s="201"/>
      <c r="E17" s="201"/>
      <c r="F17" s="201">
        <f t="shared" ref="F17:F29" si="4">G17+H17+I17+J17</f>
        <v>0</v>
      </c>
      <c r="G17" s="272"/>
      <c r="H17" s="272"/>
      <c r="I17" s="272"/>
      <c r="J17" s="272"/>
      <c r="L17" s="284"/>
    </row>
    <row r="18" spans="1:14" s="216" customFormat="1" ht="57.6" customHeight="1">
      <c r="A18" s="265" t="s">
        <v>381</v>
      </c>
      <c r="B18" s="215" t="s">
        <v>388</v>
      </c>
      <c r="C18" s="201"/>
      <c r="D18" s="201"/>
      <c r="E18" s="201"/>
      <c r="F18" s="201">
        <f t="shared" si="4"/>
        <v>0</v>
      </c>
      <c r="G18" s="272"/>
      <c r="H18" s="272"/>
      <c r="I18" s="272"/>
      <c r="J18" s="272"/>
      <c r="L18" s="284"/>
    </row>
    <row r="19" spans="1:14" s="216" customFormat="1" ht="75.2" customHeight="1">
      <c r="A19" s="265" t="s">
        <v>382</v>
      </c>
      <c r="B19" s="215" t="s">
        <v>389</v>
      </c>
      <c r="C19" s="201"/>
      <c r="D19" s="201"/>
      <c r="E19" s="201"/>
      <c r="F19" s="201">
        <f t="shared" si="4"/>
        <v>0</v>
      </c>
      <c r="G19" s="272"/>
      <c r="H19" s="272"/>
      <c r="I19" s="272"/>
      <c r="J19" s="272"/>
      <c r="L19" s="284"/>
    </row>
    <row r="20" spans="1:14" s="216" customFormat="1" ht="27.6" customHeight="1">
      <c r="A20" s="265" t="s">
        <v>383</v>
      </c>
      <c r="B20" s="215" t="s">
        <v>390</v>
      </c>
      <c r="C20" s="201"/>
      <c r="D20" s="201"/>
      <c r="E20" s="201"/>
      <c r="F20" s="201">
        <f t="shared" si="4"/>
        <v>0</v>
      </c>
      <c r="G20" s="272"/>
      <c r="H20" s="272"/>
      <c r="I20" s="272"/>
      <c r="J20" s="272"/>
      <c r="L20" s="284"/>
    </row>
    <row r="21" spans="1:14" s="216" customFormat="1" ht="61.35" customHeight="1">
      <c r="A21" s="265" t="s">
        <v>384</v>
      </c>
      <c r="B21" s="215" t="s">
        <v>391</v>
      </c>
      <c r="C21" s="201"/>
      <c r="D21" s="201"/>
      <c r="E21" s="201"/>
      <c r="F21" s="201">
        <f t="shared" si="4"/>
        <v>0</v>
      </c>
      <c r="G21" s="272"/>
      <c r="H21" s="272"/>
      <c r="I21" s="272"/>
      <c r="J21" s="272"/>
      <c r="L21" s="284"/>
      <c r="N21" s="281"/>
    </row>
    <row r="22" spans="1:14" s="216" customFormat="1" ht="36.4" customHeight="1">
      <c r="A22" s="265" t="s">
        <v>386</v>
      </c>
      <c r="B22" s="215" t="s">
        <v>392</v>
      </c>
      <c r="C22" s="201"/>
      <c r="D22" s="201"/>
      <c r="E22" s="201"/>
      <c r="F22" s="201">
        <f t="shared" si="4"/>
        <v>0</v>
      </c>
      <c r="G22" s="272"/>
      <c r="H22" s="272"/>
      <c r="I22" s="272"/>
      <c r="J22" s="272"/>
      <c r="L22" s="284"/>
    </row>
    <row r="23" spans="1:14" s="216" customFormat="1" ht="93.95" customHeight="1">
      <c r="A23" s="265" t="s">
        <v>385</v>
      </c>
      <c r="B23" s="215" t="s">
        <v>393</v>
      </c>
      <c r="C23" s="201"/>
      <c r="D23" s="201"/>
      <c r="E23" s="201"/>
      <c r="F23" s="201">
        <f t="shared" si="4"/>
        <v>0</v>
      </c>
      <c r="G23" s="272"/>
      <c r="H23" s="272"/>
      <c r="I23" s="272"/>
      <c r="J23" s="272"/>
      <c r="L23" s="284"/>
    </row>
    <row r="24" spans="1:14" s="216" customFormat="1" ht="27" customHeight="1">
      <c r="A24" s="111" t="s">
        <v>348</v>
      </c>
      <c r="B24" s="215" t="s">
        <v>314</v>
      </c>
      <c r="C24" s="201">
        <f>17302.5-274.3</f>
        <v>17028.2</v>
      </c>
      <c r="D24" s="201">
        <v>25762.799999999999</v>
      </c>
      <c r="E24" s="201">
        <v>26660.400000000001</v>
      </c>
      <c r="F24" s="201">
        <f t="shared" si="4"/>
        <v>8964.5</v>
      </c>
      <c r="G24" s="272">
        <v>8964.5</v>
      </c>
      <c r="H24" s="272"/>
      <c r="I24" s="272"/>
      <c r="J24" s="272"/>
      <c r="L24" s="284"/>
    </row>
    <row r="25" spans="1:14" s="216" customFormat="1" ht="75.2" customHeight="1">
      <c r="A25" s="111" t="s">
        <v>306</v>
      </c>
      <c r="B25" s="215" t="s">
        <v>315</v>
      </c>
      <c r="C25" s="201"/>
      <c r="D25" s="201"/>
      <c r="E25" s="201"/>
      <c r="F25" s="201">
        <f t="shared" si="4"/>
        <v>0</v>
      </c>
      <c r="G25" s="272"/>
      <c r="H25" s="272"/>
      <c r="I25" s="272"/>
      <c r="J25" s="272"/>
      <c r="L25" s="284"/>
    </row>
    <row r="26" spans="1:14" s="216" customFormat="1" ht="57.6" customHeight="1">
      <c r="A26" s="111" t="s">
        <v>307</v>
      </c>
      <c r="B26" s="215" t="s">
        <v>316</v>
      </c>
      <c r="C26" s="361"/>
      <c r="D26" s="201"/>
      <c r="E26" s="201"/>
      <c r="F26" s="201">
        <f t="shared" si="4"/>
        <v>0</v>
      </c>
      <c r="G26" s="201"/>
      <c r="H26" s="201"/>
      <c r="I26" s="201"/>
      <c r="J26" s="201"/>
      <c r="L26" s="284"/>
    </row>
    <row r="27" spans="1:14" s="216" customFormat="1" ht="59.45" customHeight="1">
      <c r="A27" s="111" t="s">
        <v>308</v>
      </c>
      <c r="B27" s="215" t="s">
        <v>349</v>
      </c>
      <c r="C27" s="201"/>
      <c r="D27" s="201"/>
      <c r="E27" s="201"/>
      <c r="F27" s="201">
        <f t="shared" si="4"/>
        <v>0</v>
      </c>
      <c r="G27" s="201"/>
      <c r="H27" s="201"/>
      <c r="I27" s="201"/>
      <c r="J27" s="201"/>
      <c r="L27" s="284"/>
    </row>
    <row r="28" spans="1:14" s="216" customFormat="1" ht="42" customHeight="1">
      <c r="A28" s="111" t="s">
        <v>309</v>
      </c>
      <c r="B28" s="215" t="s">
        <v>350</v>
      </c>
      <c r="C28" s="201"/>
      <c r="D28" s="201"/>
      <c r="E28" s="201"/>
      <c r="F28" s="201">
        <f t="shared" si="4"/>
        <v>0</v>
      </c>
      <c r="G28" s="201"/>
      <c r="H28" s="201"/>
      <c r="I28" s="201"/>
      <c r="J28" s="201"/>
      <c r="L28" s="284"/>
    </row>
    <row r="29" spans="1:14" s="216" customFormat="1" ht="59.45" customHeight="1">
      <c r="A29" s="111" t="s">
        <v>310</v>
      </c>
      <c r="B29" s="215" t="s">
        <v>351</v>
      </c>
      <c r="C29" s="201">
        <f>22820.3</f>
        <v>22820.3</v>
      </c>
      <c r="D29" s="201">
        <v>27309.599999999999</v>
      </c>
      <c r="E29" s="201">
        <v>28280.6</v>
      </c>
      <c r="F29" s="201">
        <f t="shared" si="4"/>
        <v>38688</v>
      </c>
      <c r="G29" s="272">
        <v>6020.3</v>
      </c>
      <c r="H29" s="272">
        <v>7765.1</v>
      </c>
      <c r="I29" s="272">
        <v>11572.4</v>
      </c>
      <c r="J29" s="272">
        <f>13695.6-365.4</f>
        <v>13330.2</v>
      </c>
      <c r="L29" s="284"/>
    </row>
    <row r="30" spans="1:14" s="5" customFormat="1" ht="28.9" customHeight="1">
      <c r="A30" s="242" t="s">
        <v>291</v>
      </c>
      <c r="B30" s="243">
        <v>1013</v>
      </c>
      <c r="C30" s="228"/>
      <c r="D30" s="228"/>
      <c r="E30" s="228">
        <v>1874.4</v>
      </c>
      <c r="F30" s="228">
        <f>G30+H30+I30+J30</f>
        <v>2921.2000000000003</v>
      </c>
      <c r="G30" s="228">
        <f>G77</f>
        <v>999.8</v>
      </c>
      <c r="H30" s="228">
        <f t="shared" ref="H30:J30" si="5">H77</f>
        <v>773.7</v>
      </c>
      <c r="I30" s="228">
        <f t="shared" si="5"/>
        <v>576.29999999999995</v>
      </c>
      <c r="J30" s="228">
        <f t="shared" si="5"/>
        <v>571.4</v>
      </c>
      <c r="L30" s="283"/>
    </row>
    <row r="31" spans="1:14" s="5" customFormat="1" ht="23.25" customHeight="1">
      <c r="A31" s="200" t="s">
        <v>236</v>
      </c>
      <c r="B31" s="372">
        <v>1020</v>
      </c>
      <c r="C31" s="211"/>
      <c r="D31" s="211"/>
      <c r="E31" s="211"/>
      <c r="F31" s="211">
        <f>G31+H31+I31+J31</f>
        <v>0</v>
      </c>
      <c r="G31" s="211"/>
      <c r="H31" s="211"/>
      <c r="I31" s="211"/>
      <c r="J31" s="211"/>
      <c r="L31" s="283"/>
    </row>
    <row r="32" spans="1:14" s="5" customFormat="1" ht="22.5" customHeight="1">
      <c r="A32" s="200" t="s">
        <v>237</v>
      </c>
      <c r="B32" s="372">
        <v>1030</v>
      </c>
      <c r="C32" s="211"/>
      <c r="D32" s="211"/>
      <c r="E32" s="211"/>
      <c r="F32" s="211">
        <f>G32+H32+I32+J32</f>
        <v>0</v>
      </c>
      <c r="G32" s="211"/>
      <c r="H32" s="211"/>
      <c r="I32" s="211"/>
      <c r="J32" s="211"/>
      <c r="L32" s="283"/>
    </row>
    <row r="33" spans="1:15" s="5" customFormat="1" ht="43.9" customHeight="1">
      <c r="A33" s="226" t="s">
        <v>95</v>
      </c>
      <c r="B33" s="206">
        <v>1040</v>
      </c>
      <c r="C33" s="207">
        <f>C10-C31-C32</f>
        <v>41668.800000000003</v>
      </c>
      <c r="D33" s="207">
        <f t="shared" ref="D33:J33" si="6">D10-D31-D32</f>
        <v>55832.999999999993</v>
      </c>
      <c r="E33" s="207">
        <f t="shared" si="6"/>
        <v>61115</v>
      </c>
      <c r="F33" s="207">
        <f t="shared" si="6"/>
        <v>96345.5</v>
      </c>
      <c r="G33" s="207">
        <f t="shared" si="6"/>
        <v>17042.099999999999</v>
      </c>
      <c r="H33" s="207">
        <f t="shared" si="6"/>
        <v>21158.100000000002</v>
      </c>
      <c r="I33" s="207">
        <f t="shared" si="6"/>
        <v>26698.499999999996</v>
      </c>
      <c r="J33" s="207">
        <f t="shared" si="6"/>
        <v>31446.800000000003</v>
      </c>
      <c r="K33" s="283">
        <f>L33-C33</f>
        <v>416.5</v>
      </c>
      <c r="L33" s="283">
        <v>42085.3</v>
      </c>
    </row>
    <row r="34" spans="1:15" ht="43.9" customHeight="1">
      <c r="A34" s="375" t="s">
        <v>111</v>
      </c>
      <c r="B34" s="208">
        <v>1050</v>
      </c>
      <c r="C34" s="266">
        <f t="shared" ref="C34:J34" si="7">SUM(C35:C42)</f>
        <v>41112.919000000002</v>
      </c>
      <c r="D34" s="266">
        <f t="shared" si="7"/>
        <v>53057.5</v>
      </c>
      <c r="E34" s="266">
        <f t="shared" si="7"/>
        <v>58135.200000000004</v>
      </c>
      <c r="F34" s="266">
        <f t="shared" si="7"/>
        <v>91729.099999999977</v>
      </c>
      <c r="G34" s="266">
        <f t="shared" si="7"/>
        <v>15567.7</v>
      </c>
      <c r="H34" s="266">
        <f t="shared" si="7"/>
        <v>17966.3</v>
      </c>
      <c r="I34" s="266">
        <f t="shared" si="7"/>
        <v>26837.1</v>
      </c>
      <c r="J34" s="266">
        <f t="shared" si="7"/>
        <v>31358</v>
      </c>
      <c r="K34" s="275">
        <f>L34-C34</f>
        <v>1179.9809999999998</v>
      </c>
      <c r="L34" s="282">
        <v>42292.9</v>
      </c>
      <c r="M34" s="275"/>
      <c r="N34" s="275"/>
      <c r="O34" s="275"/>
    </row>
    <row r="35" spans="1:15" s="2" customFormat="1" ht="30.75" customHeight="1">
      <c r="A35" s="8" t="s">
        <v>370</v>
      </c>
      <c r="B35" s="9">
        <v>1051</v>
      </c>
      <c r="C35" s="106">
        <f>2251.219+1194</f>
        <v>3445.2190000000001</v>
      </c>
      <c r="D35" s="217">
        <v>2046.4</v>
      </c>
      <c r="E35" s="217">
        <v>4111.7</v>
      </c>
      <c r="F35" s="211">
        <f t="shared" ref="F35:F41" si="8">G35+H35+I35+J35</f>
        <v>15226.5</v>
      </c>
      <c r="G35" s="268">
        <v>1192.5999999999999</v>
      </c>
      <c r="H35" s="268">
        <v>4973.3</v>
      </c>
      <c r="I35" s="268">
        <f>5401.5+395</f>
        <v>5796.5</v>
      </c>
      <c r="J35" s="268">
        <f>524.7+420+1100.5+1218.9</f>
        <v>3264.1000000000004</v>
      </c>
      <c r="L35" s="285"/>
    </row>
    <row r="36" spans="1:15" s="2" customFormat="1" ht="28.9" customHeight="1">
      <c r="A36" s="8" t="s">
        <v>53</v>
      </c>
      <c r="B36" s="9">
        <v>1052</v>
      </c>
      <c r="C36" s="106">
        <v>198</v>
      </c>
      <c r="D36" s="217">
        <v>199</v>
      </c>
      <c r="E36" s="217">
        <v>150</v>
      </c>
      <c r="F36" s="211">
        <f t="shared" si="8"/>
        <v>0</v>
      </c>
      <c r="G36" s="268"/>
      <c r="H36" s="268"/>
      <c r="I36" s="268"/>
      <c r="J36" s="268"/>
      <c r="L36" s="285"/>
    </row>
    <row r="37" spans="1:15" s="2" customFormat="1" ht="24.4" customHeight="1">
      <c r="A37" s="229" t="s">
        <v>52</v>
      </c>
      <c r="B37" s="230">
        <v>1053</v>
      </c>
      <c r="C37" s="231">
        <f>682.2-C108</f>
        <v>628.80000000000007</v>
      </c>
      <c r="D37" s="232">
        <v>638.9</v>
      </c>
      <c r="E37" s="232">
        <f>1020.7-E108+113.9</f>
        <v>1087.9000000000001</v>
      </c>
      <c r="F37" s="228">
        <f t="shared" si="8"/>
        <v>1112.3</v>
      </c>
      <c r="G37" s="233">
        <v>194.1</v>
      </c>
      <c r="H37" s="233">
        <v>228.2</v>
      </c>
      <c r="I37" s="233">
        <f>285.9+55.1</f>
        <v>341</v>
      </c>
      <c r="J37" s="233">
        <f>285.9+63.1</f>
        <v>349</v>
      </c>
      <c r="L37" s="285"/>
    </row>
    <row r="38" spans="1:15" s="2" customFormat="1" ht="28.9" customHeight="1">
      <c r="A38" s="8" t="s">
        <v>27</v>
      </c>
      <c r="B38" s="9">
        <v>1054</v>
      </c>
      <c r="C38" s="106">
        <f>26968.6-675.8</f>
        <v>26292.799999999999</v>
      </c>
      <c r="D38" s="106">
        <f>38783.5-901</f>
        <v>37882.5</v>
      </c>
      <c r="E38" s="106">
        <f>39346.5-E90</f>
        <v>38400.800000000003</v>
      </c>
      <c r="F38" s="211">
        <f t="shared" si="8"/>
        <v>50556.899999999994</v>
      </c>
      <c r="G38" s="268">
        <v>10524.1</v>
      </c>
      <c r="H38" s="268">
        <v>9751.6</v>
      </c>
      <c r="I38" s="268">
        <f>11798.1-I90+1340+1329.4</f>
        <v>14208.5</v>
      </c>
      <c r="J38" s="268">
        <f>11798.1-J90+5534.8-938.1</f>
        <v>16072.699999999999</v>
      </c>
      <c r="K38" s="291"/>
      <c r="L38" s="285"/>
    </row>
    <row r="39" spans="1:15" s="2" customFormat="1" ht="30" customHeight="1">
      <c r="A39" s="8" t="s">
        <v>28</v>
      </c>
      <c r="B39" s="9">
        <v>1055</v>
      </c>
      <c r="C39" s="106">
        <f>5284.8-212.8-5.2</f>
        <v>5066.8</v>
      </c>
      <c r="D39" s="106">
        <f>7655.3-180-103.8</f>
        <v>7371.5</v>
      </c>
      <c r="E39" s="106">
        <f>7757.2-E91</f>
        <v>7552</v>
      </c>
      <c r="F39" s="211">
        <f t="shared" si="8"/>
        <v>10778.599999999999</v>
      </c>
      <c r="G39" s="268">
        <v>2215.6</v>
      </c>
      <c r="H39" s="268">
        <v>2145.4</v>
      </c>
      <c r="I39" s="268">
        <f>2801.4</f>
        <v>2801.4</v>
      </c>
      <c r="J39" s="268">
        <v>3616.2</v>
      </c>
      <c r="L39" s="285"/>
    </row>
    <row r="40" spans="1:15" s="2" customFormat="1" ht="55.15" customHeight="1">
      <c r="A40" s="8" t="s">
        <v>191</v>
      </c>
      <c r="B40" s="9">
        <v>1056</v>
      </c>
      <c r="C40" s="106">
        <f>742.5+53.6</f>
        <v>796.1</v>
      </c>
      <c r="D40" s="106">
        <v>759.4</v>
      </c>
      <c r="E40" s="106">
        <v>178</v>
      </c>
      <c r="F40" s="211">
        <f t="shared" si="8"/>
        <v>2023</v>
      </c>
      <c r="G40" s="268">
        <v>186</v>
      </c>
      <c r="H40" s="268">
        <v>60.8</v>
      </c>
      <c r="I40" s="268">
        <f>91.6+1435-980.4</f>
        <v>546.19999999999993</v>
      </c>
      <c r="J40" s="268">
        <v>1230</v>
      </c>
      <c r="L40" s="285"/>
    </row>
    <row r="41" spans="1:15" s="122" customFormat="1" ht="45" customHeight="1">
      <c r="A41" s="121" t="s">
        <v>51</v>
      </c>
      <c r="B41" s="274">
        <v>1057</v>
      </c>
      <c r="C41" s="271">
        <f>1113.4+727</f>
        <v>1840.4</v>
      </c>
      <c r="D41" s="269">
        <v>550.6</v>
      </c>
      <c r="E41" s="269">
        <v>725.3</v>
      </c>
      <c r="F41" s="270">
        <f t="shared" si="8"/>
        <v>1755.6999999999998</v>
      </c>
      <c r="G41" s="268">
        <v>18.100000000000001</v>
      </c>
      <c r="H41" s="268">
        <v>2.4</v>
      </c>
      <c r="I41" s="268">
        <v>217.6</v>
      </c>
      <c r="J41" s="268">
        <v>1517.6</v>
      </c>
      <c r="L41" s="286"/>
    </row>
    <row r="42" spans="1:15" s="17" customFormat="1" ht="32.65" customHeight="1">
      <c r="A42" s="202" t="s">
        <v>109</v>
      </c>
      <c r="B42" s="203">
        <v>1058</v>
      </c>
      <c r="C42" s="205">
        <f>(C43+C47+C48)</f>
        <v>2844.8</v>
      </c>
      <c r="D42" s="205">
        <f t="shared" ref="D42:J42" si="9">(D43+D47+D48)</f>
        <v>3609.2000000000003</v>
      </c>
      <c r="E42" s="205">
        <f t="shared" si="9"/>
        <v>5929.5</v>
      </c>
      <c r="F42" s="205">
        <f t="shared" si="9"/>
        <v>10276.099999999999</v>
      </c>
      <c r="G42" s="205">
        <f t="shared" si="9"/>
        <v>1237.2</v>
      </c>
      <c r="H42" s="205">
        <f t="shared" si="9"/>
        <v>804.6</v>
      </c>
      <c r="I42" s="205">
        <f t="shared" si="9"/>
        <v>2925.8999999999996</v>
      </c>
      <c r="J42" s="205">
        <f t="shared" si="9"/>
        <v>5308.4</v>
      </c>
      <c r="L42" s="287"/>
    </row>
    <row r="43" spans="1:15" s="2" customFormat="1" ht="33.200000000000003" customHeight="1">
      <c r="A43" s="240" t="s">
        <v>297</v>
      </c>
      <c r="B43" s="230" t="s">
        <v>301</v>
      </c>
      <c r="C43" s="231">
        <f>C45+C46</f>
        <v>1013.3000000000001</v>
      </c>
      <c r="D43" s="231">
        <f t="shared" ref="D43:J43" si="10">D45+D46</f>
        <v>1951.3</v>
      </c>
      <c r="E43" s="231">
        <f t="shared" si="10"/>
        <v>2940.2</v>
      </c>
      <c r="F43" s="231">
        <f t="shared" si="10"/>
        <v>3036.7</v>
      </c>
      <c r="G43" s="231">
        <f t="shared" si="10"/>
        <v>802.8</v>
      </c>
      <c r="H43" s="231">
        <f t="shared" si="10"/>
        <v>458.5</v>
      </c>
      <c r="I43" s="231">
        <f t="shared" si="10"/>
        <v>120.7</v>
      </c>
      <c r="J43" s="231">
        <f t="shared" si="10"/>
        <v>1654.7</v>
      </c>
      <c r="L43" s="285"/>
    </row>
    <row r="44" spans="1:15" s="252" customFormat="1" ht="27.6" customHeight="1">
      <c r="A44" s="111" t="s">
        <v>298</v>
      </c>
      <c r="B44" s="248"/>
      <c r="C44" s="201"/>
      <c r="D44" s="201"/>
      <c r="E44" s="201"/>
      <c r="F44" s="201"/>
      <c r="G44" s="267"/>
      <c r="H44" s="267"/>
      <c r="I44" s="267"/>
      <c r="J44" s="267"/>
      <c r="L44" s="288"/>
    </row>
    <row r="45" spans="1:15" s="252" customFormat="1" ht="26.25" customHeight="1">
      <c r="A45" s="111" t="s">
        <v>299</v>
      </c>
      <c r="B45" s="248" t="s">
        <v>303</v>
      </c>
      <c r="C45" s="201">
        <f>980.9-C107</f>
        <v>900.6</v>
      </c>
      <c r="D45" s="201">
        <v>1805.2</v>
      </c>
      <c r="E45" s="201">
        <f>2910.2-E107-24.1</f>
        <v>2759.5</v>
      </c>
      <c r="F45" s="201">
        <f>G45+H45+I45+J45</f>
        <v>2817.6</v>
      </c>
      <c r="G45" s="267">
        <v>767</v>
      </c>
      <c r="H45" s="267">
        <v>425.3</v>
      </c>
      <c r="I45" s="267">
        <v>61.5</v>
      </c>
      <c r="J45" s="267">
        <f>1480+83.8</f>
        <v>1563.8</v>
      </c>
      <c r="L45" s="288"/>
    </row>
    <row r="46" spans="1:15" s="252" customFormat="1" ht="31.35" customHeight="1">
      <c r="A46" s="111" t="s">
        <v>300</v>
      </c>
      <c r="B46" s="248" t="s">
        <v>304</v>
      </c>
      <c r="C46" s="201">
        <f>157.3-C109</f>
        <v>112.70000000000002</v>
      </c>
      <c r="D46" s="201">
        <v>146.1</v>
      </c>
      <c r="E46" s="201">
        <f>330.1-E109-119.7</f>
        <v>180.70000000000005</v>
      </c>
      <c r="F46" s="201">
        <f>G46+H46+I46+J46</f>
        <v>219.1</v>
      </c>
      <c r="G46" s="267">
        <v>35.799999999999997</v>
      </c>
      <c r="H46" s="267">
        <v>33.200000000000003</v>
      </c>
      <c r="I46" s="267">
        <v>59.2</v>
      </c>
      <c r="J46" s="267">
        <f>59.3+31.6</f>
        <v>90.9</v>
      </c>
      <c r="L46" s="288"/>
    </row>
    <row r="47" spans="1:15" s="252" customFormat="1" ht="25.15" customHeight="1">
      <c r="A47" s="111" t="s">
        <v>401</v>
      </c>
      <c r="B47" s="248" t="s">
        <v>302</v>
      </c>
      <c r="C47" s="201">
        <f>2186.4-936.3</f>
        <v>1250.1000000000001</v>
      </c>
      <c r="D47" s="201">
        <v>1101</v>
      </c>
      <c r="E47" s="201">
        <v>1829.3</v>
      </c>
      <c r="F47" s="201">
        <f>G47+H47+I47+J47</f>
        <v>5153.3999999999996</v>
      </c>
      <c r="G47" s="267">
        <v>93</v>
      </c>
      <c r="H47" s="267">
        <v>132.4</v>
      </c>
      <c r="I47" s="267">
        <f>1131.6+1108</f>
        <v>2239.6</v>
      </c>
      <c r="J47" s="267">
        <f>1631.6+1056.8</f>
        <v>2688.3999999999996</v>
      </c>
      <c r="L47" s="288"/>
    </row>
    <row r="48" spans="1:15" s="2" customFormat="1" ht="25.15" customHeight="1">
      <c r="A48" s="240" t="s">
        <v>395</v>
      </c>
      <c r="B48" s="230" t="s">
        <v>406</v>
      </c>
      <c r="C48" s="231">
        <f>SUM(C49:C75)</f>
        <v>581.4</v>
      </c>
      <c r="D48" s="231">
        <f t="shared" ref="D48:J48" si="11">SUM(D49:D75)</f>
        <v>556.90000000000009</v>
      </c>
      <c r="E48" s="231">
        <f t="shared" si="11"/>
        <v>1160</v>
      </c>
      <c r="F48" s="231">
        <f t="shared" si="11"/>
        <v>2086</v>
      </c>
      <c r="G48" s="231">
        <f t="shared" si="11"/>
        <v>341.40000000000003</v>
      </c>
      <c r="H48" s="231">
        <f t="shared" si="11"/>
        <v>213.70000000000002</v>
      </c>
      <c r="I48" s="231">
        <f t="shared" si="11"/>
        <v>565.6</v>
      </c>
      <c r="J48" s="231">
        <f t="shared" si="11"/>
        <v>965.30000000000007</v>
      </c>
      <c r="L48" s="285"/>
    </row>
    <row r="49" spans="1:12" s="252" customFormat="1" ht="52.5" hidden="1" customHeight="1" outlineLevel="1">
      <c r="A49" s="111" t="s">
        <v>298</v>
      </c>
      <c r="B49" s="255"/>
      <c r="C49" s="256"/>
      <c r="D49" s="253"/>
      <c r="E49" s="253"/>
      <c r="F49" s="201"/>
      <c r="G49" s="253"/>
      <c r="H49" s="254"/>
      <c r="I49" s="254"/>
      <c r="J49" s="254"/>
      <c r="L49" s="288"/>
    </row>
    <row r="50" spans="1:12" s="252" customFormat="1" ht="52.5" hidden="1" customHeight="1" outlineLevel="1">
      <c r="A50" s="111" t="s">
        <v>356</v>
      </c>
      <c r="B50" s="246"/>
      <c r="C50" s="256">
        <f>30+2+10</f>
        <v>42</v>
      </c>
      <c r="D50" s="253">
        <v>67</v>
      </c>
      <c r="E50" s="253">
        <v>119</v>
      </c>
      <c r="F50" s="201">
        <f t="shared" ref="F50:F75" si="12">G50+H50+I50+J50</f>
        <v>143</v>
      </c>
      <c r="G50" s="253">
        <v>44</v>
      </c>
      <c r="H50" s="253">
        <v>7</v>
      </c>
      <c r="I50" s="253">
        <v>46</v>
      </c>
      <c r="J50" s="253">
        <v>46</v>
      </c>
      <c r="L50" s="288"/>
    </row>
    <row r="51" spans="1:12" s="252" customFormat="1" ht="52.5" hidden="1" customHeight="1" outlineLevel="1">
      <c r="A51" s="111" t="s">
        <v>357</v>
      </c>
      <c r="B51" s="248"/>
      <c r="C51" s="256">
        <v>199.9</v>
      </c>
      <c r="D51" s="253">
        <v>199.2</v>
      </c>
      <c r="E51" s="253">
        <v>595.5</v>
      </c>
      <c r="F51" s="201">
        <f t="shared" si="12"/>
        <v>108.5</v>
      </c>
      <c r="G51" s="253">
        <v>108.5</v>
      </c>
      <c r="H51" s="253"/>
      <c r="I51" s="253"/>
      <c r="J51" s="253"/>
      <c r="L51" s="288"/>
    </row>
    <row r="52" spans="1:12" s="252" customFormat="1" ht="52.5" hidden="1" customHeight="1" outlineLevel="1">
      <c r="A52" s="111" t="s">
        <v>358</v>
      </c>
      <c r="B52" s="246"/>
      <c r="C52" s="256">
        <v>79</v>
      </c>
      <c r="D52" s="253">
        <v>85.2</v>
      </c>
      <c r="E52" s="253">
        <v>85.2</v>
      </c>
      <c r="F52" s="201">
        <f t="shared" si="12"/>
        <v>46.1</v>
      </c>
      <c r="G52" s="253">
        <v>15.6</v>
      </c>
      <c r="H52" s="253">
        <v>15.3</v>
      </c>
      <c r="I52" s="253">
        <v>7.6</v>
      </c>
      <c r="J52" s="253">
        <v>7.6</v>
      </c>
      <c r="L52" s="288"/>
    </row>
    <row r="53" spans="1:12" s="252" customFormat="1" ht="52.5" hidden="1" customHeight="1" outlineLevel="1">
      <c r="A53" s="111" t="s">
        <v>359</v>
      </c>
      <c r="B53" s="248"/>
      <c r="C53" s="256">
        <f>11.2+7.4</f>
        <v>18.600000000000001</v>
      </c>
      <c r="D53" s="253">
        <v>2</v>
      </c>
      <c r="E53" s="253">
        <v>2</v>
      </c>
      <c r="F53" s="201">
        <f t="shared" si="12"/>
        <v>70.3</v>
      </c>
      <c r="G53" s="253">
        <v>63.8</v>
      </c>
      <c r="H53" s="254">
        <v>6.5</v>
      </c>
      <c r="I53" s="201"/>
      <c r="J53" s="201"/>
      <c r="L53" s="288"/>
    </row>
    <row r="54" spans="1:12" s="252" customFormat="1" ht="52.5" hidden="1" customHeight="1" outlineLevel="1">
      <c r="A54" s="111" t="s">
        <v>360</v>
      </c>
      <c r="B54" s="246"/>
      <c r="C54" s="256">
        <v>161.4</v>
      </c>
      <c r="D54" s="253">
        <v>173.3</v>
      </c>
      <c r="E54" s="253">
        <f>173.3-22.5</f>
        <v>150.80000000000001</v>
      </c>
      <c r="F54" s="201">
        <f t="shared" si="12"/>
        <v>1446.3</v>
      </c>
      <c r="G54" s="253">
        <v>55.8</v>
      </c>
      <c r="H54" s="254">
        <v>136.19999999999999</v>
      </c>
      <c r="I54" s="201">
        <v>474.3</v>
      </c>
      <c r="J54" s="201">
        <v>780</v>
      </c>
      <c r="L54" s="288"/>
    </row>
    <row r="55" spans="1:12" s="252" customFormat="1" ht="84" hidden="1" customHeight="1" outlineLevel="1">
      <c r="A55" s="111" t="s">
        <v>362</v>
      </c>
      <c r="B55" s="248"/>
      <c r="C55" s="201"/>
      <c r="D55" s="253"/>
      <c r="E55" s="253"/>
      <c r="F55" s="201">
        <f t="shared" si="12"/>
        <v>0</v>
      </c>
      <c r="G55" s="254"/>
      <c r="H55" s="254"/>
      <c r="I55" s="201"/>
      <c r="J55" s="201"/>
      <c r="L55" s="288"/>
    </row>
    <row r="56" spans="1:12" s="252" customFormat="1" ht="52.5" hidden="1" customHeight="1" outlineLevel="1">
      <c r="A56" s="111" t="s">
        <v>361</v>
      </c>
      <c r="B56" s="246"/>
      <c r="C56" s="201">
        <v>28.1</v>
      </c>
      <c r="D56" s="253">
        <v>30.2</v>
      </c>
      <c r="E56" s="253">
        <v>57</v>
      </c>
      <c r="F56" s="201">
        <f t="shared" si="12"/>
        <v>86</v>
      </c>
      <c r="G56" s="254">
        <v>17.100000000000001</v>
      </c>
      <c r="H56" s="254">
        <v>17.899999999999999</v>
      </c>
      <c r="I56" s="201"/>
      <c r="J56" s="201">
        <f>14+37</f>
        <v>51</v>
      </c>
      <c r="L56" s="288"/>
    </row>
    <row r="57" spans="1:12" s="252" customFormat="1" ht="52.5" hidden="1" customHeight="1" outlineLevel="1">
      <c r="A57" s="111" t="s">
        <v>363</v>
      </c>
      <c r="B57" s="248"/>
      <c r="C57" s="201"/>
      <c r="D57" s="253"/>
      <c r="E57" s="253">
        <v>30</v>
      </c>
      <c r="F57" s="201">
        <f t="shared" si="12"/>
        <v>8.8000000000000007</v>
      </c>
      <c r="G57" s="254">
        <v>2.2000000000000002</v>
      </c>
      <c r="H57" s="254">
        <v>6.6</v>
      </c>
      <c r="I57" s="201"/>
      <c r="J57" s="201"/>
      <c r="L57" s="288"/>
    </row>
    <row r="58" spans="1:12" s="252" customFormat="1" ht="52.5" hidden="1" customHeight="1" outlineLevel="1">
      <c r="A58" s="111" t="s">
        <v>364</v>
      </c>
      <c r="B58" s="246"/>
      <c r="C58" s="201"/>
      <c r="D58" s="253"/>
      <c r="E58" s="253"/>
      <c r="F58" s="201">
        <f t="shared" si="12"/>
        <v>0</v>
      </c>
      <c r="G58" s="254"/>
      <c r="H58" s="254"/>
      <c r="I58" s="201"/>
      <c r="J58" s="201"/>
      <c r="L58" s="288"/>
    </row>
    <row r="59" spans="1:12" s="252" customFormat="1" ht="52.5" hidden="1" customHeight="1" outlineLevel="1">
      <c r="A59" s="111" t="s">
        <v>365</v>
      </c>
      <c r="B59" s="248"/>
      <c r="C59" s="201"/>
      <c r="D59" s="253"/>
      <c r="E59" s="253">
        <v>52</v>
      </c>
      <c r="F59" s="201">
        <f t="shared" si="12"/>
        <v>71.800000000000011</v>
      </c>
      <c r="G59" s="254">
        <v>21.1</v>
      </c>
      <c r="H59" s="254">
        <v>12.3</v>
      </c>
      <c r="I59" s="254">
        <v>19.2</v>
      </c>
      <c r="J59" s="254">
        <v>19.2</v>
      </c>
      <c r="L59" s="288"/>
    </row>
    <row r="60" spans="1:12" s="252" customFormat="1" ht="52.5" hidden="1" customHeight="1" outlineLevel="1">
      <c r="A60" s="111" t="s">
        <v>366</v>
      </c>
      <c r="B60" s="246"/>
      <c r="C60" s="201">
        <v>52.4</v>
      </c>
      <c r="D60" s="253"/>
      <c r="E60" s="253">
        <v>68.5</v>
      </c>
      <c r="F60" s="201">
        <f t="shared" si="12"/>
        <v>62.2</v>
      </c>
      <c r="G60" s="254">
        <v>13.3</v>
      </c>
      <c r="H60" s="254">
        <v>11.9</v>
      </c>
      <c r="I60" s="201">
        <f>17.6+0.9</f>
        <v>18.5</v>
      </c>
      <c r="J60" s="201">
        <f>17.6+0.9</f>
        <v>18.5</v>
      </c>
      <c r="L60" s="288"/>
    </row>
    <row r="61" spans="1:12" s="252" customFormat="1" ht="52.5" hidden="1" customHeight="1" outlineLevel="1">
      <c r="A61" s="111" t="s">
        <v>422</v>
      </c>
      <c r="B61" s="248"/>
      <c r="C61" s="201"/>
      <c r="D61" s="253"/>
      <c r="E61" s="253"/>
      <c r="F61" s="201">
        <f t="shared" si="12"/>
        <v>43</v>
      </c>
      <c r="G61" s="254"/>
      <c r="H61" s="254"/>
      <c r="I61" s="201"/>
      <c r="J61" s="201">
        <v>43</v>
      </c>
      <c r="L61" s="288"/>
    </row>
    <row r="62" spans="1:12" s="252" customFormat="1" ht="52.5" hidden="1" customHeight="1" outlineLevel="1">
      <c r="A62" s="111"/>
      <c r="B62" s="246"/>
      <c r="C62" s="201"/>
      <c r="D62" s="253"/>
      <c r="E62" s="253"/>
      <c r="F62" s="201">
        <f t="shared" si="12"/>
        <v>0</v>
      </c>
      <c r="G62" s="254"/>
      <c r="H62" s="254"/>
      <c r="I62" s="201"/>
      <c r="J62" s="201"/>
      <c r="L62" s="288"/>
    </row>
    <row r="63" spans="1:12" s="252" customFormat="1" ht="52.5" hidden="1" customHeight="1" outlineLevel="1">
      <c r="A63" s="111"/>
      <c r="B63" s="248"/>
      <c r="C63" s="201"/>
      <c r="D63" s="253"/>
      <c r="E63" s="253"/>
      <c r="F63" s="201">
        <f t="shared" si="12"/>
        <v>0</v>
      </c>
      <c r="G63" s="254"/>
      <c r="H63" s="254"/>
      <c r="I63" s="201"/>
      <c r="J63" s="201"/>
      <c r="L63" s="288"/>
    </row>
    <row r="64" spans="1:12" s="252" customFormat="1" ht="52.5" hidden="1" customHeight="1" outlineLevel="1">
      <c r="A64" s="111"/>
      <c r="B64" s="246"/>
      <c r="C64" s="201"/>
      <c r="D64" s="253"/>
      <c r="E64" s="253"/>
      <c r="F64" s="201">
        <f t="shared" si="12"/>
        <v>0</v>
      </c>
      <c r="G64" s="254"/>
      <c r="H64" s="254"/>
      <c r="I64" s="201"/>
      <c r="J64" s="201"/>
      <c r="L64" s="288"/>
    </row>
    <row r="65" spans="1:12" s="252" customFormat="1" ht="52.5" hidden="1" customHeight="1" outlineLevel="1">
      <c r="A65" s="111"/>
      <c r="B65" s="248"/>
      <c r="C65" s="201"/>
      <c r="D65" s="253"/>
      <c r="E65" s="253"/>
      <c r="F65" s="201">
        <f t="shared" si="12"/>
        <v>0</v>
      </c>
      <c r="G65" s="254"/>
      <c r="H65" s="254"/>
      <c r="I65" s="201"/>
      <c r="J65" s="201"/>
      <c r="L65" s="288"/>
    </row>
    <row r="66" spans="1:12" s="252" customFormat="1" ht="52.5" hidden="1" customHeight="1" outlineLevel="1">
      <c r="A66" s="111"/>
      <c r="B66" s="246"/>
      <c r="C66" s="201"/>
      <c r="D66" s="253"/>
      <c r="E66" s="253"/>
      <c r="F66" s="201">
        <f t="shared" si="12"/>
        <v>0</v>
      </c>
      <c r="G66" s="254"/>
      <c r="H66" s="254"/>
      <c r="I66" s="201"/>
      <c r="J66" s="201"/>
      <c r="L66" s="288"/>
    </row>
    <row r="67" spans="1:12" s="252" customFormat="1" ht="52.5" hidden="1" customHeight="1" outlineLevel="1">
      <c r="A67" s="111"/>
      <c r="B67" s="248"/>
      <c r="C67" s="201"/>
      <c r="D67" s="253"/>
      <c r="E67" s="253"/>
      <c r="F67" s="201">
        <f t="shared" si="12"/>
        <v>0</v>
      </c>
      <c r="G67" s="254"/>
      <c r="H67" s="254"/>
      <c r="I67" s="201"/>
      <c r="J67" s="201"/>
      <c r="L67" s="288"/>
    </row>
    <row r="68" spans="1:12" s="252" customFormat="1" ht="52.5" hidden="1" customHeight="1" outlineLevel="1">
      <c r="A68" s="111"/>
      <c r="B68" s="246"/>
      <c r="C68" s="201"/>
      <c r="D68" s="253"/>
      <c r="E68" s="253"/>
      <c r="F68" s="201">
        <f t="shared" si="12"/>
        <v>0</v>
      </c>
      <c r="G68" s="254"/>
      <c r="H68" s="254"/>
      <c r="I68" s="201"/>
      <c r="J68" s="201"/>
      <c r="L68" s="288"/>
    </row>
    <row r="69" spans="1:12" s="252" customFormat="1" ht="52.5" hidden="1" customHeight="1" outlineLevel="1">
      <c r="A69" s="111"/>
      <c r="B69" s="248"/>
      <c r="C69" s="201"/>
      <c r="D69" s="253"/>
      <c r="E69" s="253"/>
      <c r="F69" s="201">
        <f t="shared" si="12"/>
        <v>0</v>
      </c>
      <c r="G69" s="201"/>
      <c r="H69" s="201"/>
      <c r="I69" s="201"/>
      <c r="J69" s="201"/>
      <c r="L69" s="288"/>
    </row>
    <row r="70" spans="1:12" s="252" customFormat="1" ht="52.5" hidden="1" customHeight="1" outlineLevel="1">
      <c r="A70" s="111"/>
      <c r="B70" s="246"/>
      <c r="C70" s="201"/>
      <c r="D70" s="253"/>
      <c r="E70" s="253"/>
      <c r="F70" s="201">
        <f>G70+H70+I70+J70</f>
        <v>0</v>
      </c>
      <c r="G70" s="201"/>
      <c r="H70" s="201"/>
      <c r="I70" s="201"/>
      <c r="J70" s="201"/>
      <c r="L70" s="288"/>
    </row>
    <row r="71" spans="1:12" s="252" customFormat="1" ht="52.5" hidden="1" customHeight="1" outlineLevel="1">
      <c r="A71" s="111"/>
      <c r="B71" s="246"/>
      <c r="C71" s="201"/>
      <c r="D71" s="253"/>
      <c r="E71" s="253"/>
      <c r="F71" s="201">
        <f>G71+H71+I71+J71</f>
        <v>0</v>
      </c>
      <c r="G71" s="201"/>
      <c r="H71" s="201"/>
      <c r="I71" s="201"/>
      <c r="J71" s="201"/>
      <c r="L71" s="288"/>
    </row>
    <row r="72" spans="1:12" s="252" customFormat="1" ht="52.5" hidden="1" customHeight="1" outlineLevel="1">
      <c r="A72" s="111"/>
      <c r="B72" s="246"/>
      <c r="C72" s="201"/>
      <c r="D72" s="253"/>
      <c r="E72" s="253"/>
      <c r="F72" s="201">
        <f>G72+H72+I72+J72</f>
        <v>0</v>
      </c>
      <c r="G72" s="201"/>
      <c r="H72" s="201"/>
      <c r="I72" s="201"/>
      <c r="J72" s="201"/>
      <c r="L72" s="288"/>
    </row>
    <row r="73" spans="1:12" s="252" customFormat="1" ht="52.5" hidden="1" customHeight="1" outlineLevel="1">
      <c r="A73" s="111"/>
      <c r="B73" s="246"/>
      <c r="C73" s="201"/>
      <c r="D73" s="253"/>
      <c r="E73" s="253"/>
      <c r="F73" s="201">
        <f>G73+H73+I73+J73</f>
        <v>0</v>
      </c>
      <c r="G73" s="201"/>
      <c r="H73" s="201"/>
      <c r="I73" s="201"/>
      <c r="J73" s="201"/>
      <c r="L73" s="288"/>
    </row>
    <row r="74" spans="1:12" s="252" customFormat="1" ht="52.5" hidden="1" customHeight="1" outlineLevel="1">
      <c r="A74" s="111"/>
      <c r="B74" s="246"/>
      <c r="C74" s="201"/>
      <c r="D74" s="253"/>
      <c r="E74" s="253"/>
      <c r="F74" s="201">
        <f>G74+H74+I74+J74</f>
        <v>0</v>
      </c>
      <c r="G74" s="201"/>
      <c r="H74" s="201"/>
      <c r="I74" s="201"/>
      <c r="J74" s="201"/>
      <c r="L74" s="288"/>
    </row>
    <row r="75" spans="1:12" s="252" customFormat="1" ht="52.5" hidden="1" customHeight="1" outlineLevel="1">
      <c r="A75" s="111"/>
      <c r="B75" s="246"/>
      <c r="C75" s="201"/>
      <c r="D75" s="253"/>
      <c r="E75" s="253"/>
      <c r="F75" s="253">
        <f t="shared" si="12"/>
        <v>0</v>
      </c>
      <c r="G75" s="201"/>
      <c r="H75" s="201"/>
      <c r="I75" s="201"/>
      <c r="J75" s="201"/>
      <c r="L75" s="288"/>
    </row>
    <row r="76" spans="1:12" s="5" customFormat="1" ht="31.35" customHeight="1" collapsed="1">
      <c r="A76" s="375" t="s">
        <v>257</v>
      </c>
      <c r="B76" s="208">
        <v>1060</v>
      </c>
      <c r="C76" s="209">
        <f>C33-C34</f>
        <v>555.88100000000122</v>
      </c>
      <c r="D76" s="209">
        <f t="shared" ref="D76:J76" si="13">D33-D34</f>
        <v>2775.4999999999927</v>
      </c>
      <c r="E76" s="209">
        <f t="shared" si="13"/>
        <v>2979.7999999999956</v>
      </c>
      <c r="F76" s="209">
        <f>F33-F34</f>
        <v>4616.4000000000233</v>
      </c>
      <c r="G76" s="209">
        <f t="shared" si="13"/>
        <v>1474.3999999999978</v>
      </c>
      <c r="H76" s="209">
        <f t="shared" si="13"/>
        <v>3191.8000000000029</v>
      </c>
      <c r="I76" s="209">
        <f t="shared" si="13"/>
        <v>-138.60000000000218</v>
      </c>
      <c r="J76" s="209">
        <f t="shared" si="13"/>
        <v>88.80000000000291</v>
      </c>
      <c r="L76" s="283"/>
    </row>
    <row r="77" spans="1:12" ht="39.75" customHeight="1">
      <c r="A77" s="226" t="s">
        <v>176</v>
      </c>
      <c r="B77" s="206">
        <v>1070</v>
      </c>
      <c r="C77" s="234">
        <f>SUM(C78:C80)</f>
        <v>416.5</v>
      </c>
      <c r="D77" s="234">
        <f>SUM(D78:D80)</f>
        <v>16.2</v>
      </c>
      <c r="E77" s="234">
        <f>SUM(E78:E80)</f>
        <v>100.3</v>
      </c>
      <c r="F77" s="234">
        <f>G77+H77+I77+J77</f>
        <v>2921.2000000000003</v>
      </c>
      <c r="G77" s="234">
        <f>SUM(G78:G81)</f>
        <v>999.8</v>
      </c>
      <c r="H77" s="234">
        <f t="shared" ref="H77:J77" si="14">SUM(H78:H81)</f>
        <v>773.7</v>
      </c>
      <c r="I77" s="234">
        <f t="shared" si="14"/>
        <v>576.29999999999995</v>
      </c>
      <c r="J77" s="234">
        <f t="shared" si="14"/>
        <v>571.4</v>
      </c>
    </row>
    <row r="78" spans="1:12" s="244" customFormat="1" ht="27.6" customHeight="1">
      <c r="A78" s="245" t="s">
        <v>353</v>
      </c>
      <c r="B78" s="246">
        <v>1071</v>
      </c>
      <c r="C78" s="247"/>
      <c r="D78" s="247">
        <v>16.2</v>
      </c>
      <c r="E78" s="247">
        <v>25.3</v>
      </c>
      <c r="F78" s="217">
        <f>G78+H78+I78+J78</f>
        <v>22.5</v>
      </c>
      <c r="G78" s="273">
        <v>7.8</v>
      </c>
      <c r="H78" s="247">
        <v>2</v>
      </c>
      <c r="I78" s="247">
        <v>6.3</v>
      </c>
      <c r="J78" s="247">
        <v>6.4</v>
      </c>
      <c r="L78" s="289"/>
    </row>
    <row r="79" spans="1:12" s="244" customFormat="1" ht="45.2" customHeight="1">
      <c r="A79" s="245" t="s">
        <v>354</v>
      </c>
      <c r="B79" s="248">
        <v>1072</v>
      </c>
      <c r="C79" s="247">
        <v>63.5</v>
      </c>
      <c r="D79" s="247"/>
      <c r="E79" s="247">
        <v>75</v>
      </c>
      <c r="F79" s="217">
        <f>G79+H79+I79+J79</f>
        <v>0</v>
      </c>
      <c r="G79" s="247"/>
      <c r="H79" s="247"/>
      <c r="I79" s="247"/>
      <c r="J79" s="247"/>
      <c r="L79" s="289"/>
    </row>
    <row r="80" spans="1:12" s="244" customFormat="1" ht="41.45" customHeight="1">
      <c r="A80" s="245" t="s">
        <v>355</v>
      </c>
      <c r="B80" s="248">
        <v>1073</v>
      </c>
      <c r="C80" s="247">
        <f>60.3+0.2+292.5</f>
        <v>353</v>
      </c>
      <c r="D80" s="247"/>
      <c r="E80" s="247"/>
      <c r="F80" s="217">
        <f>G80+H80+I80+J80</f>
        <v>0</v>
      </c>
      <c r="G80" s="247"/>
      <c r="H80" s="247"/>
      <c r="I80" s="247"/>
      <c r="J80" s="247"/>
      <c r="L80" s="289"/>
    </row>
    <row r="81" spans="1:12" s="244" customFormat="1" ht="41.45" customHeight="1">
      <c r="A81" s="245" t="s">
        <v>421</v>
      </c>
      <c r="B81" s="248"/>
      <c r="C81" s="247"/>
      <c r="D81" s="247"/>
      <c r="E81" s="247"/>
      <c r="F81" s="217">
        <f>G81+H81+I81+J81</f>
        <v>2898.7</v>
      </c>
      <c r="G81" s="247">
        <v>992</v>
      </c>
      <c r="H81" s="247">
        <v>771.7</v>
      </c>
      <c r="I81" s="247">
        <v>570</v>
      </c>
      <c r="J81" s="247">
        <v>565</v>
      </c>
      <c r="L81" s="289"/>
    </row>
    <row r="82" spans="1:12" ht="26.25" customHeight="1">
      <c r="A82" s="202" t="s">
        <v>181</v>
      </c>
      <c r="B82" s="203">
        <v>1080</v>
      </c>
      <c r="C82" s="205">
        <f t="shared" ref="C82:J82" si="15">SUM(C83:C104)</f>
        <v>1180</v>
      </c>
      <c r="D82" s="205">
        <f t="shared" si="15"/>
        <v>1600</v>
      </c>
      <c r="E82" s="205">
        <f t="shared" si="15"/>
        <v>1556.1</v>
      </c>
      <c r="F82" s="205">
        <f t="shared" si="15"/>
        <v>1979.4999999999998</v>
      </c>
      <c r="G82" s="205">
        <f t="shared" si="15"/>
        <v>474.20000000000005</v>
      </c>
      <c r="H82" s="205">
        <f t="shared" si="15"/>
        <v>536.70000000000005</v>
      </c>
      <c r="I82" s="205">
        <f t="shared" si="15"/>
        <v>393.70000000000005</v>
      </c>
      <c r="J82" s="205">
        <f t="shared" si="15"/>
        <v>574.90000000000009</v>
      </c>
      <c r="K82" s="275"/>
    </row>
    <row r="83" spans="1:12" ht="47.65" customHeight="1">
      <c r="A83" s="8" t="s">
        <v>94</v>
      </c>
      <c r="B83" s="9">
        <v>1081</v>
      </c>
      <c r="C83" s="217"/>
      <c r="D83" s="217"/>
      <c r="E83" s="217"/>
      <c r="F83" s="211">
        <f t="shared" ref="F83:F103" si="16">G83+H83+I83+J83</f>
        <v>0</v>
      </c>
      <c r="G83" s="272"/>
      <c r="H83" s="272"/>
      <c r="I83" s="272"/>
      <c r="J83" s="272"/>
    </row>
    <row r="84" spans="1:12" ht="25.15" customHeight="1">
      <c r="A84" s="8" t="s">
        <v>172</v>
      </c>
      <c r="B84" s="9">
        <v>1082</v>
      </c>
      <c r="C84" s="217"/>
      <c r="D84" s="217"/>
      <c r="E84" s="217"/>
      <c r="F84" s="211">
        <f t="shared" si="16"/>
        <v>0</v>
      </c>
      <c r="G84" s="272"/>
      <c r="H84" s="272"/>
      <c r="I84" s="272"/>
      <c r="J84" s="272"/>
    </row>
    <row r="85" spans="1:12" ht="25.15" customHeight="1">
      <c r="A85" s="8" t="s">
        <v>50</v>
      </c>
      <c r="B85" s="9">
        <v>1083</v>
      </c>
      <c r="C85" s="217"/>
      <c r="D85" s="269">
        <v>19</v>
      </c>
      <c r="E85" s="269"/>
      <c r="F85" s="270">
        <f t="shared" si="16"/>
        <v>0</v>
      </c>
      <c r="G85" s="269"/>
      <c r="H85" s="269"/>
      <c r="I85" s="269"/>
      <c r="J85" s="269"/>
    </row>
    <row r="86" spans="1:12" ht="25.15" customHeight="1">
      <c r="A86" s="8" t="s">
        <v>10</v>
      </c>
      <c r="B86" s="9">
        <v>1084</v>
      </c>
      <c r="C86" s="217">
        <v>15.3</v>
      </c>
      <c r="D86" s="217">
        <v>17.5</v>
      </c>
      <c r="E86" s="217">
        <v>14</v>
      </c>
      <c r="F86" s="211">
        <f t="shared" si="16"/>
        <v>0</v>
      </c>
      <c r="G86" s="269"/>
      <c r="H86" s="269"/>
      <c r="I86" s="269"/>
      <c r="J86" s="269"/>
    </row>
    <row r="87" spans="1:12" ht="25.15" customHeight="1">
      <c r="A87" s="8" t="s">
        <v>11</v>
      </c>
      <c r="B87" s="9">
        <v>1085</v>
      </c>
      <c r="C87" s="217"/>
      <c r="D87" s="217"/>
      <c r="E87" s="217"/>
      <c r="F87" s="211">
        <f t="shared" si="16"/>
        <v>0</v>
      </c>
      <c r="G87" s="269"/>
      <c r="H87" s="272"/>
      <c r="I87" s="272"/>
      <c r="J87" s="272"/>
    </row>
    <row r="88" spans="1:12" s="2" customFormat="1" ht="25.15" customHeight="1">
      <c r="A88" s="8" t="s">
        <v>25</v>
      </c>
      <c r="B88" s="9">
        <v>1086</v>
      </c>
      <c r="C88" s="106">
        <v>15.8</v>
      </c>
      <c r="D88" s="269">
        <v>2.9</v>
      </c>
      <c r="E88" s="269">
        <v>47.7</v>
      </c>
      <c r="F88" s="270">
        <f t="shared" si="16"/>
        <v>47.8</v>
      </c>
      <c r="G88" s="269">
        <v>0</v>
      </c>
      <c r="H88" s="269">
        <v>42.3</v>
      </c>
      <c r="I88" s="269">
        <v>5.5</v>
      </c>
      <c r="J88" s="269"/>
      <c r="L88" s="285"/>
    </row>
    <row r="89" spans="1:12" s="2" customFormat="1" ht="25.15" customHeight="1">
      <c r="A89" s="8" t="s">
        <v>26</v>
      </c>
      <c r="B89" s="9">
        <v>1087</v>
      </c>
      <c r="C89" s="106">
        <v>16.100000000000001</v>
      </c>
      <c r="D89" s="217">
        <v>10.3</v>
      </c>
      <c r="E89" s="217">
        <v>12.1</v>
      </c>
      <c r="F89" s="211">
        <f t="shared" si="16"/>
        <v>49.800000000000004</v>
      </c>
      <c r="G89" s="269">
        <v>8.8000000000000007</v>
      </c>
      <c r="H89" s="269">
        <v>7.4</v>
      </c>
      <c r="I89" s="269">
        <v>11.8</v>
      </c>
      <c r="J89" s="269">
        <v>21.8</v>
      </c>
      <c r="L89" s="285"/>
    </row>
    <row r="90" spans="1:12" s="2" customFormat="1" ht="25.15" customHeight="1">
      <c r="A90" s="8" t="s">
        <v>27</v>
      </c>
      <c r="B90" s="9">
        <v>1088</v>
      </c>
      <c r="C90" s="106">
        <v>675.8</v>
      </c>
      <c r="D90" s="217">
        <v>901</v>
      </c>
      <c r="E90" s="217">
        <v>945.7</v>
      </c>
      <c r="F90" s="211">
        <f t="shared" si="16"/>
        <v>1107.5999999999999</v>
      </c>
      <c r="G90" s="269">
        <v>275.3</v>
      </c>
      <c r="H90" s="269">
        <v>251.2</v>
      </c>
      <c r="I90" s="269">
        <v>259</v>
      </c>
      <c r="J90" s="269">
        <v>322.10000000000002</v>
      </c>
      <c r="K90" s="291"/>
      <c r="L90" s="285"/>
    </row>
    <row r="91" spans="1:12" s="2" customFormat="1" ht="25.15" customHeight="1">
      <c r="A91" s="8" t="s">
        <v>28</v>
      </c>
      <c r="B91" s="9">
        <v>1089</v>
      </c>
      <c r="C91" s="106">
        <v>212.8</v>
      </c>
      <c r="D91" s="269">
        <v>283.8</v>
      </c>
      <c r="E91" s="269">
        <v>205.2</v>
      </c>
      <c r="F91" s="270">
        <f t="shared" si="16"/>
        <v>242.10000000000002</v>
      </c>
      <c r="G91" s="269">
        <v>60</v>
      </c>
      <c r="H91" s="269">
        <v>55.3</v>
      </c>
      <c r="I91" s="269">
        <v>57</v>
      </c>
      <c r="J91" s="269">
        <v>69.8</v>
      </c>
      <c r="L91" s="285"/>
    </row>
    <row r="92" spans="1:12" s="122" customFormat="1" ht="42.6" customHeight="1">
      <c r="A92" s="121" t="s">
        <v>29</v>
      </c>
      <c r="B92" s="274">
        <v>1090</v>
      </c>
      <c r="C92" s="271"/>
      <c r="D92" s="269"/>
      <c r="E92" s="269"/>
      <c r="F92" s="270">
        <f t="shared" si="16"/>
        <v>75</v>
      </c>
      <c r="G92" s="268"/>
      <c r="H92" s="268"/>
      <c r="I92" s="268"/>
      <c r="J92" s="268">
        <v>75</v>
      </c>
      <c r="L92" s="286"/>
    </row>
    <row r="93" spans="1:12" s="2" customFormat="1" ht="42.6" customHeight="1">
      <c r="A93" s="8" t="s">
        <v>30</v>
      </c>
      <c r="B93" s="9">
        <v>1091</v>
      </c>
      <c r="C93" s="106"/>
      <c r="D93" s="294"/>
      <c r="E93" s="294"/>
      <c r="F93" s="211">
        <f t="shared" si="16"/>
        <v>0</v>
      </c>
      <c r="G93" s="268"/>
      <c r="H93" s="268"/>
      <c r="I93" s="271"/>
      <c r="J93" s="271"/>
      <c r="L93" s="285"/>
    </row>
    <row r="94" spans="1:12" s="2" customFormat="1" ht="42.6" customHeight="1">
      <c r="A94" s="8" t="s">
        <v>31</v>
      </c>
      <c r="B94" s="9">
        <v>1092</v>
      </c>
      <c r="C94" s="106"/>
      <c r="D94" s="217"/>
      <c r="E94" s="217"/>
      <c r="F94" s="211">
        <f t="shared" si="16"/>
        <v>0</v>
      </c>
      <c r="G94" s="268"/>
      <c r="H94" s="268"/>
      <c r="I94" s="271"/>
      <c r="J94" s="271"/>
      <c r="L94" s="285"/>
    </row>
    <row r="95" spans="1:12" s="2" customFormat="1" ht="42.6" customHeight="1">
      <c r="A95" s="8" t="s">
        <v>32</v>
      </c>
      <c r="B95" s="9">
        <v>1093</v>
      </c>
      <c r="C95" s="106"/>
      <c r="D95" s="217"/>
      <c r="E95" s="217"/>
      <c r="F95" s="211">
        <f t="shared" si="16"/>
        <v>0</v>
      </c>
      <c r="G95" s="268"/>
      <c r="H95" s="268"/>
      <c r="I95" s="271"/>
      <c r="J95" s="271"/>
      <c r="L95" s="285"/>
    </row>
    <row r="96" spans="1:12" s="2" customFormat="1" ht="25.15" customHeight="1">
      <c r="A96" s="8" t="s">
        <v>33</v>
      </c>
      <c r="B96" s="9">
        <v>1094</v>
      </c>
      <c r="C96" s="106"/>
      <c r="D96" s="217"/>
      <c r="E96" s="217"/>
      <c r="F96" s="211">
        <f t="shared" si="16"/>
        <v>95</v>
      </c>
      <c r="G96" s="268">
        <v>44</v>
      </c>
      <c r="H96" s="268">
        <v>51</v>
      </c>
      <c r="I96" s="271"/>
      <c r="J96" s="271"/>
      <c r="L96" s="285"/>
    </row>
    <row r="97" spans="1:14" s="2" customFormat="1" ht="25.15" customHeight="1">
      <c r="A97" s="8" t="s">
        <v>54</v>
      </c>
      <c r="B97" s="9">
        <v>1095</v>
      </c>
      <c r="C97" s="106"/>
      <c r="D97" s="269">
        <v>35.4</v>
      </c>
      <c r="E97" s="269">
        <v>27</v>
      </c>
      <c r="F97" s="270">
        <f t="shared" si="16"/>
        <v>37.400000000000006</v>
      </c>
      <c r="G97" s="269">
        <v>15.3</v>
      </c>
      <c r="H97" s="269">
        <v>22.1</v>
      </c>
      <c r="I97" s="269"/>
      <c r="J97" s="269"/>
      <c r="L97" s="285"/>
    </row>
    <row r="98" spans="1:14" s="2" customFormat="1" ht="25.15" customHeight="1">
      <c r="A98" s="8" t="s">
        <v>34</v>
      </c>
      <c r="B98" s="9">
        <v>1096</v>
      </c>
      <c r="C98" s="106"/>
      <c r="D98" s="269">
        <v>11</v>
      </c>
      <c r="E98" s="269"/>
      <c r="F98" s="270">
        <f t="shared" si="16"/>
        <v>0</v>
      </c>
      <c r="G98" s="269"/>
      <c r="H98" s="269"/>
      <c r="I98" s="269"/>
      <c r="J98" s="269"/>
      <c r="L98" s="285"/>
    </row>
    <row r="99" spans="1:14" s="2" customFormat="1" ht="25.15" customHeight="1">
      <c r="A99" s="8" t="s">
        <v>35</v>
      </c>
      <c r="B99" s="9">
        <v>1097</v>
      </c>
      <c r="C99" s="106"/>
      <c r="D99" s="217"/>
      <c r="E99" s="217"/>
      <c r="F99" s="211">
        <f t="shared" si="16"/>
        <v>0</v>
      </c>
      <c r="G99" s="269"/>
      <c r="H99" s="268"/>
      <c r="I99" s="271"/>
      <c r="J99" s="271"/>
      <c r="L99" s="285"/>
    </row>
    <row r="100" spans="1:14" s="2" customFormat="1" ht="39.4" customHeight="1">
      <c r="A100" s="8" t="s">
        <v>36</v>
      </c>
      <c r="B100" s="9">
        <v>1098</v>
      </c>
      <c r="C100" s="106">
        <v>3.5</v>
      </c>
      <c r="D100" s="269">
        <v>4</v>
      </c>
      <c r="E100" s="269"/>
      <c r="F100" s="270">
        <f t="shared" si="16"/>
        <v>3.8</v>
      </c>
      <c r="G100" s="269"/>
      <c r="H100" s="269"/>
      <c r="I100" s="269">
        <v>3.8</v>
      </c>
      <c r="J100" s="269"/>
      <c r="L100" s="285"/>
    </row>
    <row r="101" spans="1:14" s="2" customFormat="1" ht="40.15" customHeight="1">
      <c r="A101" s="8" t="s">
        <v>37</v>
      </c>
      <c r="B101" s="9">
        <v>1099</v>
      </c>
      <c r="C101" s="106">
        <v>1.4</v>
      </c>
      <c r="D101" s="217">
        <v>2</v>
      </c>
      <c r="E101" s="217">
        <v>11</v>
      </c>
      <c r="F101" s="211">
        <f t="shared" si="16"/>
        <v>1.3</v>
      </c>
      <c r="G101" s="269"/>
      <c r="H101" s="269">
        <v>1.3</v>
      </c>
      <c r="I101" s="269"/>
      <c r="J101" s="269"/>
      <c r="L101" s="285"/>
    </row>
    <row r="102" spans="1:14" s="2" customFormat="1" ht="60.75" customHeight="1">
      <c r="A102" s="8" t="s">
        <v>67</v>
      </c>
      <c r="B102" s="9">
        <v>1100</v>
      </c>
      <c r="C102" s="106"/>
      <c r="D102" s="217"/>
      <c r="E102" s="217"/>
      <c r="F102" s="211">
        <f t="shared" si="16"/>
        <v>0</v>
      </c>
      <c r="G102" s="269"/>
      <c r="H102" s="268"/>
      <c r="I102" s="271"/>
      <c r="J102" s="271"/>
      <c r="L102" s="285"/>
    </row>
    <row r="103" spans="1:14" s="2" customFormat="1" ht="26.25" customHeight="1">
      <c r="A103" s="8" t="s">
        <v>38</v>
      </c>
      <c r="B103" s="9">
        <v>1101</v>
      </c>
      <c r="C103" s="106">
        <v>30.8</v>
      </c>
      <c r="D103" s="217">
        <v>44.6</v>
      </c>
      <c r="E103" s="217">
        <v>33.299999999999997</v>
      </c>
      <c r="F103" s="211">
        <f t="shared" si="16"/>
        <v>0</v>
      </c>
      <c r="G103" s="269"/>
      <c r="H103" s="269"/>
      <c r="I103" s="269"/>
      <c r="J103" s="269"/>
      <c r="L103" s="285"/>
    </row>
    <row r="104" spans="1:14" s="2" customFormat="1" ht="27.6" customHeight="1">
      <c r="A104" s="235" t="s">
        <v>97</v>
      </c>
      <c r="B104" s="236">
        <v>1102</v>
      </c>
      <c r="C104" s="237">
        <f t="shared" ref="C104:J104" si="17">C105+SUM(C110:C112)</f>
        <v>208.5</v>
      </c>
      <c r="D104" s="238">
        <f t="shared" si="17"/>
        <v>268.5</v>
      </c>
      <c r="E104" s="238">
        <f t="shared" si="17"/>
        <v>260.10000000000002</v>
      </c>
      <c r="F104" s="207">
        <f t="shared" si="17"/>
        <v>319.7</v>
      </c>
      <c r="G104" s="237">
        <f t="shared" si="17"/>
        <v>70.8</v>
      </c>
      <c r="H104" s="237">
        <f t="shared" si="17"/>
        <v>106.1</v>
      </c>
      <c r="I104" s="237">
        <f t="shared" si="17"/>
        <v>56.6</v>
      </c>
      <c r="J104" s="237">
        <f t="shared" si="17"/>
        <v>86.2</v>
      </c>
      <c r="K104" s="373"/>
      <c r="L104" s="282"/>
      <c r="M104" s="373"/>
      <c r="N104" s="373"/>
    </row>
    <row r="105" spans="1:14" s="252" customFormat="1" ht="30.75" customHeight="1">
      <c r="A105" s="240" t="s">
        <v>371</v>
      </c>
      <c r="B105" s="249" t="s">
        <v>329</v>
      </c>
      <c r="C105" s="250">
        <f t="shared" ref="C105:J105" si="18">C107+C108+C109</f>
        <v>178.29999999999998</v>
      </c>
      <c r="D105" s="251">
        <f t="shared" si="18"/>
        <v>237.7</v>
      </c>
      <c r="E105" s="251">
        <f t="shared" si="18"/>
        <v>203</v>
      </c>
      <c r="F105" s="250">
        <f t="shared" si="18"/>
        <v>148.29999999999998</v>
      </c>
      <c r="G105" s="250">
        <f t="shared" si="18"/>
        <v>47.2</v>
      </c>
      <c r="H105" s="250">
        <f t="shared" si="18"/>
        <v>39.4</v>
      </c>
      <c r="I105" s="250">
        <f t="shared" si="18"/>
        <v>10.1</v>
      </c>
      <c r="J105" s="250">
        <f t="shared" si="18"/>
        <v>51.6</v>
      </c>
      <c r="K105" s="244"/>
      <c r="L105" s="289"/>
      <c r="M105" s="244"/>
      <c r="N105" s="244"/>
    </row>
    <row r="106" spans="1:14" s="2" customFormat="1" ht="25.15" customHeight="1">
      <c r="A106" s="111" t="s">
        <v>298</v>
      </c>
      <c r="B106" s="219"/>
      <c r="C106" s="106"/>
      <c r="D106" s="217"/>
      <c r="E106" s="217"/>
      <c r="F106" s="211"/>
      <c r="G106" s="268"/>
      <c r="H106" s="268"/>
      <c r="I106" s="268"/>
      <c r="J106" s="268"/>
      <c r="K106" s="373"/>
      <c r="L106" s="282"/>
      <c r="M106" s="373"/>
      <c r="N106" s="373"/>
    </row>
    <row r="107" spans="1:14" s="252" customFormat="1" ht="25.15" customHeight="1">
      <c r="A107" s="111" t="s">
        <v>299</v>
      </c>
      <c r="B107" s="248" t="s">
        <v>330</v>
      </c>
      <c r="C107" s="201">
        <v>80.3</v>
      </c>
      <c r="D107" s="273">
        <v>107</v>
      </c>
      <c r="E107" s="273">
        <v>126.6</v>
      </c>
      <c r="F107" s="272">
        <f t="shared" ref="F107:F112" si="19">G107+H107+I107+J107</f>
        <v>93.6</v>
      </c>
      <c r="G107" s="273">
        <v>42.1</v>
      </c>
      <c r="H107" s="267">
        <v>21.4</v>
      </c>
      <c r="I107" s="267"/>
      <c r="J107" s="267">
        <v>30.1</v>
      </c>
      <c r="K107" s="244"/>
      <c r="L107" s="289"/>
      <c r="M107" s="244"/>
      <c r="N107" s="244"/>
    </row>
    <row r="108" spans="1:14" s="252" customFormat="1" ht="25.15" customHeight="1">
      <c r="A108" s="111" t="s">
        <v>305</v>
      </c>
      <c r="B108" s="248" t="s">
        <v>331</v>
      </c>
      <c r="C108" s="201">
        <v>53.4</v>
      </c>
      <c r="D108" s="273">
        <v>71.2</v>
      </c>
      <c r="E108" s="273">
        <v>46.7</v>
      </c>
      <c r="F108" s="272">
        <f t="shared" si="19"/>
        <v>42.5</v>
      </c>
      <c r="G108" s="267">
        <v>2.9</v>
      </c>
      <c r="H108" s="267">
        <v>14.5</v>
      </c>
      <c r="I108" s="267">
        <v>7.1</v>
      </c>
      <c r="J108" s="267">
        <v>18</v>
      </c>
      <c r="K108" s="244"/>
      <c r="L108" s="289"/>
      <c r="M108" s="244"/>
      <c r="N108" s="244"/>
    </row>
    <row r="109" spans="1:14" s="252" customFormat="1" ht="25.15" customHeight="1">
      <c r="A109" s="111" t="s">
        <v>300</v>
      </c>
      <c r="B109" s="248" t="s">
        <v>332</v>
      </c>
      <c r="C109" s="201">
        <v>44.6</v>
      </c>
      <c r="D109" s="273">
        <v>59.5</v>
      </c>
      <c r="E109" s="273">
        <v>29.7</v>
      </c>
      <c r="F109" s="272">
        <f t="shared" si="19"/>
        <v>12.2</v>
      </c>
      <c r="G109" s="273">
        <v>2.2000000000000002</v>
      </c>
      <c r="H109" s="273">
        <v>3.5</v>
      </c>
      <c r="I109" s="273">
        <v>3</v>
      </c>
      <c r="J109" s="273">
        <v>3.5</v>
      </c>
      <c r="K109" s="244"/>
      <c r="L109" s="289"/>
      <c r="M109" s="244"/>
      <c r="N109" s="244"/>
    </row>
    <row r="110" spans="1:14" s="252" customFormat="1" ht="52.5" customHeight="1">
      <c r="A110" s="240" t="s">
        <v>399</v>
      </c>
      <c r="B110" s="249" t="s">
        <v>396</v>
      </c>
      <c r="C110" s="250"/>
      <c r="D110" s="251"/>
      <c r="E110" s="251"/>
      <c r="F110" s="250">
        <f t="shared" si="19"/>
        <v>7.2</v>
      </c>
      <c r="G110" s="250"/>
      <c r="H110" s="250"/>
      <c r="I110" s="250">
        <v>3.6</v>
      </c>
      <c r="J110" s="250">
        <v>3.6</v>
      </c>
      <c r="K110" s="244"/>
      <c r="L110" s="289"/>
      <c r="M110" s="244"/>
      <c r="N110" s="244"/>
    </row>
    <row r="111" spans="1:14" s="252" customFormat="1" ht="25.15" customHeight="1">
      <c r="A111" s="240" t="s">
        <v>409</v>
      </c>
      <c r="B111" s="249" t="s">
        <v>397</v>
      </c>
      <c r="C111" s="250">
        <v>12.4</v>
      </c>
      <c r="D111" s="251">
        <v>10.8</v>
      </c>
      <c r="E111" s="251">
        <v>34.1</v>
      </c>
      <c r="F111" s="250">
        <f t="shared" si="19"/>
        <v>64.400000000000006</v>
      </c>
      <c r="G111" s="251">
        <v>3.4</v>
      </c>
      <c r="H111" s="251">
        <v>5.3</v>
      </c>
      <c r="I111" s="251">
        <v>24.7</v>
      </c>
      <c r="J111" s="251">
        <v>31</v>
      </c>
      <c r="K111" s="244"/>
      <c r="L111" s="289"/>
      <c r="M111" s="244"/>
      <c r="N111" s="244"/>
    </row>
    <row r="112" spans="1:14" s="252" customFormat="1" ht="25.15" customHeight="1">
      <c r="A112" s="240" t="s">
        <v>410</v>
      </c>
      <c r="B112" s="249" t="s">
        <v>398</v>
      </c>
      <c r="C112" s="250">
        <v>17.8</v>
      </c>
      <c r="D112" s="251">
        <v>20</v>
      </c>
      <c r="E112" s="251">
        <v>23</v>
      </c>
      <c r="F112" s="250">
        <f t="shared" si="19"/>
        <v>99.8</v>
      </c>
      <c r="G112" s="250">
        <v>20.2</v>
      </c>
      <c r="H112" s="250">
        <v>61.4</v>
      </c>
      <c r="I112" s="250">
        <v>18.2</v>
      </c>
      <c r="J112" s="250"/>
      <c r="K112" s="244"/>
      <c r="L112" s="289"/>
      <c r="M112" s="244"/>
      <c r="N112" s="244"/>
    </row>
    <row r="113" spans="1:14" ht="36.950000000000003" customHeight="1">
      <c r="A113" s="202" t="s">
        <v>182</v>
      </c>
      <c r="B113" s="203">
        <v>1110</v>
      </c>
      <c r="C113" s="205">
        <f t="shared" ref="C113:J113" si="20">SUM(C114:C119)</f>
        <v>0</v>
      </c>
      <c r="D113" s="204">
        <f t="shared" si="20"/>
        <v>0</v>
      </c>
      <c r="E113" s="204">
        <f t="shared" si="20"/>
        <v>1517.1</v>
      </c>
      <c r="F113" s="205">
        <f t="shared" si="20"/>
        <v>2620.6</v>
      </c>
      <c r="G113" s="205">
        <f t="shared" si="20"/>
        <v>793.3</v>
      </c>
      <c r="H113" s="205">
        <v>709.1</v>
      </c>
      <c r="I113" s="205">
        <f t="shared" si="20"/>
        <v>570</v>
      </c>
      <c r="J113" s="205">
        <f t="shared" si="20"/>
        <v>565</v>
      </c>
    </row>
    <row r="114" spans="1:14" s="2" customFormat="1" ht="25.15" customHeight="1">
      <c r="A114" s="8" t="s">
        <v>154</v>
      </c>
      <c r="B114" s="9">
        <v>1111</v>
      </c>
      <c r="C114" s="106"/>
      <c r="D114" s="217"/>
      <c r="E114" s="217"/>
      <c r="F114" s="211">
        <f t="shared" ref="F114:F119" si="21">G114+H114+I114+J114</f>
        <v>0</v>
      </c>
      <c r="G114" s="268"/>
      <c r="H114" s="268"/>
      <c r="I114" s="268"/>
      <c r="J114" s="268"/>
      <c r="K114" s="373"/>
      <c r="L114" s="282"/>
      <c r="M114" s="373"/>
      <c r="N114" s="373"/>
    </row>
    <row r="115" spans="1:14" s="2" customFormat="1" ht="25.15" customHeight="1">
      <c r="A115" s="8" t="s">
        <v>420</v>
      </c>
      <c r="B115" s="9">
        <v>1112</v>
      </c>
      <c r="C115" s="106"/>
      <c r="D115" s="217"/>
      <c r="E115" s="217"/>
      <c r="F115" s="211">
        <f t="shared" si="21"/>
        <v>37.6</v>
      </c>
      <c r="G115" s="268">
        <v>37.6</v>
      </c>
      <c r="H115" s="268"/>
      <c r="I115" s="268"/>
      <c r="J115" s="268"/>
      <c r="K115" s="373"/>
      <c r="L115" s="282"/>
      <c r="M115" s="373"/>
      <c r="N115" s="373"/>
    </row>
    <row r="116" spans="1:14" s="2" customFormat="1" ht="25.15" customHeight="1">
      <c r="A116" s="8" t="s">
        <v>27</v>
      </c>
      <c r="B116" s="9">
        <v>1113</v>
      </c>
      <c r="C116" s="106"/>
      <c r="D116" s="217"/>
      <c r="E116" s="217">
        <v>1217.2</v>
      </c>
      <c r="F116" s="211">
        <f t="shared" si="21"/>
        <v>2166.4</v>
      </c>
      <c r="G116" s="268">
        <v>751.3</v>
      </c>
      <c r="H116" s="268">
        <v>435.1</v>
      </c>
      <c r="I116" s="268">
        <v>490</v>
      </c>
      <c r="J116" s="268">
        <v>490</v>
      </c>
      <c r="K116" s="373"/>
      <c r="L116" s="282"/>
      <c r="M116" s="373"/>
      <c r="N116" s="373"/>
    </row>
    <row r="117" spans="1:14" s="2" customFormat="1" ht="34.5" customHeight="1">
      <c r="A117" s="8" t="s">
        <v>51</v>
      </c>
      <c r="B117" s="9">
        <v>1114</v>
      </c>
      <c r="C117" s="106"/>
      <c r="D117" s="217"/>
      <c r="E117" s="217"/>
      <c r="F117" s="211">
        <f t="shared" si="21"/>
        <v>0</v>
      </c>
      <c r="G117" s="268"/>
      <c r="H117" s="268"/>
      <c r="I117" s="268"/>
      <c r="J117" s="268"/>
      <c r="K117" s="373"/>
      <c r="L117" s="282"/>
      <c r="M117" s="373"/>
      <c r="N117" s="373"/>
    </row>
    <row r="118" spans="1:14" s="2" customFormat="1" ht="25.15" customHeight="1">
      <c r="A118" s="8" t="s">
        <v>70</v>
      </c>
      <c r="B118" s="9">
        <v>1115</v>
      </c>
      <c r="C118" s="106"/>
      <c r="D118" s="217"/>
      <c r="E118" s="217"/>
      <c r="F118" s="211">
        <f t="shared" si="21"/>
        <v>0</v>
      </c>
      <c r="G118" s="268"/>
      <c r="H118" s="268"/>
      <c r="I118" s="268"/>
      <c r="J118" s="268"/>
      <c r="K118" s="373"/>
      <c r="L118" s="282"/>
      <c r="M118" s="373"/>
      <c r="N118" s="373"/>
    </row>
    <row r="119" spans="1:14" s="2" customFormat="1" ht="25.15" customHeight="1">
      <c r="A119" s="8" t="s">
        <v>110</v>
      </c>
      <c r="B119" s="9">
        <v>1116</v>
      </c>
      <c r="C119" s="106"/>
      <c r="D119" s="217"/>
      <c r="E119" s="217">
        <f>E120+E121</f>
        <v>299.89999999999998</v>
      </c>
      <c r="F119" s="211">
        <f t="shared" si="21"/>
        <v>416.59999999999997</v>
      </c>
      <c r="G119" s="268">
        <f>G120+G121</f>
        <v>4.4000000000000004</v>
      </c>
      <c r="H119" s="268">
        <f>H120+H121</f>
        <v>257.2</v>
      </c>
      <c r="I119" s="268">
        <f t="shared" ref="I119:J119" si="22">I120+I121</f>
        <v>80</v>
      </c>
      <c r="J119" s="268">
        <f t="shared" si="22"/>
        <v>75</v>
      </c>
      <c r="K119" s="373"/>
      <c r="L119" s="282"/>
      <c r="M119" s="373"/>
      <c r="N119" s="373"/>
    </row>
    <row r="120" spans="1:14" s="2" customFormat="1" ht="25.15" customHeight="1">
      <c r="A120" s="8" t="s">
        <v>401</v>
      </c>
      <c r="B120" s="9"/>
      <c r="C120" s="106"/>
      <c r="D120" s="217"/>
      <c r="E120" s="217">
        <v>123.6</v>
      </c>
      <c r="F120" s="211"/>
      <c r="G120" s="268">
        <v>4.4000000000000004</v>
      </c>
      <c r="H120" s="268">
        <v>214.1</v>
      </c>
      <c r="I120" s="268">
        <v>35</v>
      </c>
      <c r="J120" s="268">
        <v>18</v>
      </c>
      <c r="K120" s="373"/>
      <c r="L120" s="282"/>
      <c r="M120" s="373"/>
      <c r="N120" s="373"/>
    </row>
    <row r="121" spans="1:14" s="2" customFormat="1" ht="25.15" customHeight="1">
      <c r="A121" s="8" t="s">
        <v>370</v>
      </c>
      <c r="B121" s="9"/>
      <c r="C121" s="106"/>
      <c r="D121" s="217"/>
      <c r="E121" s="217">
        <v>176.3</v>
      </c>
      <c r="F121" s="211"/>
      <c r="G121" s="268"/>
      <c r="H121" s="268">
        <v>43.1</v>
      </c>
      <c r="I121" s="268">
        <v>45</v>
      </c>
      <c r="J121" s="268">
        <v>57</v>
      </c>
      <c r="K121" s="373"/>
      <c r="L121" s="282"/>
      <c r="M121" s="373"/>
      <c r="N121" s="373"/>
    </row>
    <row r="122" spans="1:14" s="2" customFormat="1" ht="26.25" customHeight="1">
      <c r="A122" s="212" t="s">
        <v>71</v>
      </c>
      <c r="B122" s="203">
        <v>1120</v>
      </c>
      <c r="C122" s="205">
        <f t="shared" ref="C122:J122" si="23">SUM(C123:C127)</f>
        <v>0</v>
      </c>
      <c r="D122" s="205">
        <f t="shared" si="23"/>
        <v>6.9</v>
      </c>
      <c r="E122" s="205">
        <f t="shared" si="23"/>
        <v>6.9</v>
      </c>
      <c r="F122" s="205">
        <f t="shared" si="23"/>
        <v>16.3</v>
      </c>
      <c r="G122" s="205">
        <f t="shared" si="23"/>
        <v>0</v>
      </c>
      <c r="H122" s="205">
        <f t="shared" si="23"/>
        <v>4.8999999999999995</v>
      </c>
      <c r="I122" s="205">
        <f t="shared" si="23"/>
        <v>5.7</v>
      </c>
      <c r="J122" s="205">
        <f t="shared" si="23"/>
        <v>5.7</v>
      </c>
      <c r="K122" s="373"/>
      <c r="L122" s="282"/>
      <c r="M122" s="373"/>
      <c r="N122" s="373"/>
    </row>
    <row r="123" spans="1:14" s="2" customFormat="1" ht="25.15" customHeight="1">
      <c r="A123" s="8" t="s">
        <v>59</v>
      </c>
      <c r="B123" s="9">
        <v>1121</v>
      </c>
      <c r="C123" s="106"/>
      <c r="D123" s="217"/>
      <c r="E123" s="217"/>
      <c r="F123" s="211">
        <f>G123+H123+I123+J123</f>
        <v>0</v>
      </c>
      <c r="G123" s="218"/>
      <c r="H123" s="218"/>
      <c r="I123" s="218"/>
      <c r="J123" s="218"/>
      <c r="K123" s="373"/>
      <c r="L123" s="282"/>
      <c r="M123" s="373"/>
      <c r="N123" s="373"/>
    </row>
    <row r="124" spans="1:14" s="2" customFormat="1" ht="25.15" customHeight="1">
      <c r="A124" s="8" t="s">
        <v>39</v>
      </c>
      <c r="B124" s="9">
        <v>1122</v>
      </c>
      <c r="C124" s="106"/>
      <c r="D124" s="217"/>
      <c r="E124" s="217"/>
      <c r="F124" s="211">
        <f>G124+H124+I124+J124</f>
        <v>0</v>
      </c>
      <c r="G124" s="218"/>
      <c r="H124" s="218"/>
      <c r="I124" s="218"/>
      <c r="J124" s="218"/>
      <c r="K124" s="373"/>
      <c r="L124" s="282"/>
      <c r="M124" s="373"/>
      <c r="N124" s="373"/>
    </row>
    <row r="125" spans="1:14" s="2" customFormat="1" ht="25.15" customHeight="1">
      <c r="A125" s="8" t="s">
        <v>49</v>
      </c>
      <c r="B125" s="9">
        <v>1123</v>
      </c>
      <c r="C125" s="106"/>
      <c r="D125" s="217"/>
      <c r="E125" s="217"/>
      <c r="F125" s="211">
        <f>G125+H125+I125+J125</f>
        <v>0</v>
      </c>
      <c r="G125" s="218"/>
      <c r="H125" s="218"/>
      <c r="I125" s="218"/>
      <c r="J125" s="218"/>
      <c r="K125" s="373"/>
      <c r="L125" s="282"/>
      <c r="M125" s="373"/>
      <c r="N125" s="373"/>
    </row>
    <row r="126" spans="1:14" s="2" customFormat="1" ht="25.15" customHeight="1">
      <c r="A126" s="8" t="s">
        <v>177</v>
      </c>
      <c r="B126" s="9">
        <v>1124</v>
      </c>
      <c r="C126" s="106"/>
      <c r="D126" s="217"/>
      <c r="E126" s="217"/>
      <c r="F126" s="211">
        <f>G126+H126+I126+J126</f>
        <v>0</v>
      </c>
      <c r="G126" s="218"/>
      <c r="H126" s="218"/>
      <c r="I126" s="218"/>
      <c r="J126" s="218"/>
      <c r="K126" s="373"/>
      <c r="L126" s="282"/>
      <c r="M126" s="373"/>
      <c r="N126" s="373"/>
    </row>
    <row r="127" spans="1:14" s="2" customFormat="1" ht="25.15" customHeight="1">
      <c r="A127" s="235" t="s">
        <v>192</v>
      </c>
      <c r="B127" s="236">
        <v>1125</v>
      </c>
      <c r="C127" s="237">
        <f t="shared" ref="C127:J127" si="24">C128+SUM(C133:C138)</f>
        <v>0</v>
      </c>
      <c r="D127" s="238">
        <f t="shared" si="24"/>
        <v>6.9</v>
      </c>
      <c r="E127" s="238">
        <f t="shared" si="24"/>
        <v>6.9</v>
      </c>
      <c r="F127" s="207">
        <f t="shared" si="24"/>
        <v>16.3</v>
      </c>
      <c r="G127" s="239">
        <f t="shared" si="24"/>
        <v>0</v>
      </c>
      <c r="H127" s="239">
        <f t="shared" si="24"/>
        <v>4.8999999999999995</v>
      </c>
      <c r="I127" s="239">
        <f t="shared" si="24"/>
        <v>5.7</v>
      </c>
      <c r="J127" s="239">
        <f t="shared" si="24"/>
        <v>5.7</v>
      </c>
      <c r="K127" s="373"/>
      <c r="L127" s="282"/>
      <c r="M127" s="373"/>
      <c r="N127" s="373"/>
    </row>
    <row r="128" spans="1:14" s="2" customFormat="1" ht="25.15" customHeight="1">
      <c r="A128" s="240" t="s">
        <v>372</v>
      </c>
      <c r="B128" s="241" t="s">
        <v>333</v>
      </c>
      <c r="C128" s="231">
        <f t="shared" ref="C128:H128" si="25">SUM(C130:C132)</f>
        <v>0</v>
      </c>
      <c r="D128" s="232">
        <f t="shared" si="25"/>
        <v>5.7</v>
      </c>
      <c r="E128" s="232">
        <f t="shared" si="25"/>
        <v>5.7</v>
      </c>
      <c r="F128" s="228">
        <f t="shared" si="25"/>
        <v>12.5</v>
      </c>
      <c r="G128" s="233">
        <f t="shared" si="25"/>
        <v>0</v>
      </c>
      <c r="H128" s="233">
        <f t="shared" si="25"/>
        <v>2.0999999999999996</v>
      </c>
      <c r="I128" s="233">
        <f>SUM(I130:I132)</f>
        <v>5.2</v>
      </c>
      <c r="J128" s="233">
        <f>SUM(J130:J132)</f>
        <v>5.2</v>
      </c>
      <c r="K128" s="373"/>
      <c r="L128" s="282"/>
      <c r="M128" s="373"/>
      <c r="N128" s="373"/>
    </row>
    <row r="129" spans="1:17" s="2" customFormat="1" ht="25.15" customHeight="1">
      <c r="A129" s="111" t="s">
        <v>298</v>
      </c>
      <c r="B129" s="219"/>
      <c r="C129" s="106"/>
      <c r="D129" s="217"/>
      <c r="E129" s="217"/>
      <c r="F129" s="211"/>
      <c r="G129" s="218"/>
      <c r="H129" s="218"/>
      <c r="I129" s="218"/>
      <c r="J129" s="218"/>
      <c r="K129" s="373"/>
      <c r="L129" s="282"/>
      <c r="M129" s="373"/>
      <c r="N129" s="373"/>
    </row>
    <row r="130" spans="1:17" s="252" customFormat="1" ht="25.15" customHeight="1">
      <c r="A130" s="111" t="s">
        <v>299</v>
      </c>
      <c r="B130" s="257" t="s">
        <v>334</v>
      </c>
      <c r="C130" s="201"/>
      <c r="D130" s="247">
        <v>3.4</v>
      </c>
      <c r="E130" s="247">
        <v>3.4</v>
      </c>
      <c r="F130" s="201">
        <f>G130+H130+I130+J130</f>
        <v>5.4</v>
      </c>
      <c r="G130" s="267"/>
      <c r="H130" s="267"/>
      <c r="I130" s="267">
        <v>2.7</v>
      </c>
      <c r="J130" s="267">
        <v>2.7</v>
      </c>
      <c r="K130" s="244"/>
      <c r="L130" s="289"/>
      <c r="M130" s="244"/>
      <c r="N130" s="244"/>
    </row>
    <row r="131" spans="1:17" s="252" customFormat="1" ht="25.15" customHeight="1">
      <c r="A131" s="111" t="s">
        <v>305</v>
      </c>
      <c r="B131" s="257" t="s">
        <v>335</v>
      </c>
      <c r="C131" s="201"/>
      <c r="D131" s="247">
        <v>1.3</v>
      </c>
      <c r="E131" s="247">
        <v>1.3</v>
      </c>
      <c r="F131" s="201">
        <f t="shared" ref="F131:F138" si="26">G131+H131+I131+J131</f>
        <v>5.4</v>
      </c>
      <c r="G131" s="267"/>
      <c r="H131" s="267">
        <v>1.4</v>
      </c>
      <c r="I131" s="267">
        <v>2</v>
      </c>
      <c r="J131" s="267">
        <v>2</v>
      </c>
      <c r="K131" s="244"/>
      <c r="L131" s="289"/>
      <c r="M131" s="244"/>
      <c r="N131" s="244"/>
    </row>
    <row r="132" spans="1:17" s="252" customFormat="1" ht="25.15" customHeight="1">
      <c r="A132" s="111" t="s">
        <v>300</v>
      </c>
      <c r="B132" s="257" t="s">
        <v>336</v>
      </c>
      <c r="C132" s="201"/>
      <c r="D132" s="247">
        <v>1</v>
      </c>
      <c r="E132" s="247">
        <v>1</v>
      </c>
      <c r="F132" s="201">
        <f t="shared" si="26"/>
        <v>1.7</v>
      </c>
      <c r="G132" s="267"/>
      <c r="H132" s="267">
        <v>0.7</v>
      </c>
      <c r="I132" s="267">
        <v>0.5</v>
      </c>
      <c r="J132" s="267">
        <v>0.5</v>
      </c>
      <c r="K132" s="244"/>
      <c r="L132" s="289"/>
      <c r="M132" s="244"/>
      <c r="N132" s="244"/>
    </row>
    <row r="133" spans="1:17" s="2" customFormat="1" ht="25.15" customHeight="1">
      <c r="A133" s="111" t="s">
        <v>400</v>
      </c>
      <c r="B133" s="219" t="s">
        <v>337</v>
      </c>
      <c r="C133" s="106"/>
      <c r="D133" s="217">
        <v>1.2</v>
      </c>
      <c r="E133" s="217">
        <v>1.2</v>
      </c>
      <c r="F133" s="201">
        <f t="shared" si="26"/>
        <v>3.8</v>
      </c>
      <c r="G133" s="268"/>
      <c r="H133" s="268">
        <v>2.8</v>
      </c>
      <c r="I133" s="268">
        <v>0.5</v>
      </c>
      <c r="J133" s="268">
        <v>0.5</v>
      </c>
      <c r="K133" s="373"/>
      <c r="L133" s="282"/>
      <c r="M133" s="373"/>
      <c r="N133" s="373"/>
    </row>
    <row r="134" spans="1:17" s="2" customFormat="1" ht="25.15" customHeight="1">
      <c r="A134" s="111" t="s">
        <v>401</v>
      </c>
      <c r="B134" s="219" t="s">
        <v>338</v>
      </c>
      <c r="C134" s="106"/>
      <c r="D134" s="217"/>
      <c r="E134" s="217"/>
      <c r="F134" s="201">
        <f t="shared" si="26"/>
        <v>0</v>
      </c>
      <c r="G134" s="218"/>
      <c r="H134" s="218"/>
      <c r="I134" s="218"/>
      <c r="J134" s="218"/>
      <c r="K134" s="373"/>
      <c r="L134" s="282"/>
      <c r="M134" s="373"/>
      <c r="N134" s="373"/>
    </row>
    <row r="135" spans="1:17" s="2" customFormat="1" ht="25.15" customHeight="1">
      <c r="A135" s="111" t="s">
        <v>405</v>
      </c>
      <c r="B135" s="219" t="s">
        <v>339</v>
      </c>
      <c r="C135" s="106"/>
      <c r="D135" s="217"/>
      <c r="E135" s="217"/>
      <c r="F135" s="201">
        <f t="shared" si="26"/>
        <v>0</v>
      </c>
      <c r="G135" s="218"/>
      <c r="H135" s="218"/>
      <c r="I135" s="218"/>
      <c r="J135" s="218"/>
      <c r="K135" s="373"/>
      <c r="L135" s="282"/>
      <c r="M135" s="373"/>
      <c r="N135" s="373"/>
    </row>
    <row r="136" spans="1:17" s="2" customFormat="1" ht="46.35" customHeight="1">
      <c r="A136" s="111" t="s">
        <v>402</v>
      </c>
      <c r="B136" s="219" t="s">
        <v>340</v>
      </c>
      <c r="C136" s="106"/>
      <c r="D136" s="217"/>
      <c r="E136" s="217"/>
      <c r="F136" s="106">
        <f>G136+H136+I136+J136</f>
        <v>0</v>
      </c>
      <c r="G136" s="218"/>
      <c r="H136" s="218"/>
      <c r="I136" s="218"/>
      <c r="J136" s="218"/>
      <c r="K136" s="373"/>
      <c r="L136" s="282"/>
      <c r="M136" s="373"/>
      <c r="N136" s="373"/>
    </row>
    <row r="137" spans="1:17" s="2" customFormat="1" ht="52.5" hidden="1" customHeight="1">
      <c r="A137" s="111"/>
      <c r="B137" s="219" t="s">
        <v>403</v>
      </c>
      <c r="C137" s="106"/>
      <c r="D137" s="217"/>
      <c r="E137" s="217"/>
      <c r="F137" s="106">
        <f>G137+H137+I137+J137</f>
        <v>0</v>
      </c>
      <c r="G137" s="218"/>
      <c r="H137" s="218"/>
      <c r="I137" s="218"/>
      <c r="J137" s="218"/>
      <c r="K137" s="373"/>
      <c r="L137" s="282"/>
      <c r="M137" s="373"/>
      <c r="N137" s="373"/>
    </row>
    <row r="138" spans="1:17" s="2" customFormat="1" ht="52.5" hidden="1" customHeight="1">
      <c r="A138" s="111"/>
      <c r="B138" s="219" t="s">
        <v>404</v>
      </c>
      <c r="C138" s="106"/>
      <c r="D138" s="217"/>
      <c r="E138" s="217"/>
      <c r="F138" s="106">
        <f t="shared" si="26"/>
        <v>0</v>
      </c>
      <c r="G138" s="218"/>
      <c r="H138" s="218"/>
      <c r="I138" s="218"/>
      <c r="J138" s="218"/>
      <c r="K138" s="373"/>
      <c r="L138" s="282"/>
      <c r="M138" s="373"/>
      <c r="N138" s="373"/>
    </row>
    <row r="139" spans="1:17" s="5" customFormat="1" ht="42" customHeight="1">
      <c r="A139" s="375" t="s">
        <v>258</v>
      </c>
      <c r="B139" s="213">
        <v>1130</v>
      </c>
      <c r="C139" s="209">
        <f>C76+C77-C82-C113-C122</f>
        <v>-207.61899999999878</v>
      </c>
      <c r="D139" s="209">
        <f t="shared" ref="D139:E139" si="27">D76+D77-D82-D113-D122</f>
        <v>1184.7999999999925</v>
      </c>
      <c r="E139" s="209">
        <f t="shared" si="27"/>
        <v>-4.0021319591687643E-12</v>
      </c>
      <c r="F139" s="209">
        <f>F76+F77-F82-F113-F122-F77</f>
        <v>2.3646862246096134E-11</v>
      </c>
      <c r="G139" s="209">
        <f t="shared" ref="G139:Q139" si="28">G76+G77-G82-G113-G122-G77</f>
        <v>206.89999999999804</v>
      </c>
      <c r="H139" s="209">
        <f t="shared" si="28"/>
        <v>1941.1000000000029</v>
      </c>
      <c r="I139" s="209">
        <f t="shared" si="28"/>
        <v>-1108.0000000000023</v>
      </c>
      <c r="J139" s="209">
        <f t="shared" si="28"/>
        <v>-1056.7999999999972</v>
      </c>
      <c r="K139" s="209">
        <f t="shared" si="28"/>
        <v>0</v>
      </c>
      <c r="L139" s="209">
        <f t="shared" si="28"/>
        <v>0</v>
      </c>
      <c r="M139" s="209">
        <f t="shared" si="28"/>
        <v>0</v>
      </c>
      <c r="N139" s="209">
        <f t="shared" si="28"/>
        <v>0</v>
      </c>
      <c r="O139" s="209">
        <f t="shared" si="28"/>
        <v>0</v>
      </c>
      <c r="P139" s="209">
        <f t="shared" si="28"/>
        <v>0</v>
      </c>
      <c r="Q139" s="209">
        <f t="shared" si="28"/>
        <v>0</v>
      </c>
    </row>
    <row r="140" spans="1:17" ht="25.15" customHeight="1">
      <c r="A140" s="376" t="s">
        <v>96</v>
      </c>
      <c r="B140" s="210">
        <v>1140</v>
      </c>
      <c r="C140" s="220"/>
      <c r="D140" s="221"/>
      <c r="E140" s="221"/>
      <c r="F140" s="90">
        <f>G140+H140+I140+J140</f>
        <v>0</v>
      </c>
      <c r="G140" s="90"/>
      <c r="H140" s="90"/>
      <c r="I140" s="90"/>
      <c r="J140" s="90"/>
    </row>
    <row r="141" spans="1:17" ht="25.15" customHeight="1">
      <c r="A141" s="376" t="s">
        <v>98</v>
      </c>
      <c r="B141" s="210">
        <v>1150</v>
      </c>
      <c r="C141" s="90"/>
      <c r="D141" s="374"/>
      <c r="E141" s="374"/>
      <c r="F141" s="211">
        <f>G141+H141+I141+J141</f>
        <v>0</v>
      </c>
      <c r="G141" s="90"/>
      <c r="H141" s="90"/>
      <c r="I141" s="90"/>
      <c r="J141" s="90"/>
    </row>
    <row r="142" spans="1:17" ht="38.85" customHeight="1">
      <c r="A142" s="376" t="s">
        <v>294</v>
      </c>
      <c r="B142" s="210">
        <v>1160</v>
      </c>
      <c r="C142" s="220"/>
      <c r="D142" s="221"/>
      <c r="E142" s="221"/>
      <c r="F142" s="211">
        <f>G142+H142+I142+J142</f>
        <v>0</v>
      </c>
      <c r="G142" s="90"/>
      <c r="H142" s="90"/>
      <c r="I142" s="90"/>
      <c r="J142" s="90"/>
    </row>
    <row r="143" spans="1:17" ht="45.2" customHeight="1">
      <c r="A143" s="376" t="s">
        <v>296</v>
      </c>
      <c r="B143" s="210">
        <v>1170</v>
      </c>
      <c r="C143" s="90"/>
      <c r="D143" s="221"/>
      <c r="E143" s="221"/>
      <c r="F143" s="211">
        <f>G143+H143+I143+J143</f>
        <v>0</v>
      </c>
      <c r="G143" s="90"/>
      <c r="H143" s="90"/>
      <c r="I143" s="90"/>
      <c r="J143" s="90"/>
    </row>
    <row r="144" spans="1:17" s="5" customFormat="1" ht="52.5" customHeight="1">
      <c r="A144" s="375" t="s">
        <v>259</v>
      </c>
      <c r="B144" s="208">
        <v>1200</v>
      </c>
      <c r="C144" s="214">
        <f>C139+C140+C142-C141-C143</f>
        <v>-207.61899999999878</v>
      </c>
      <c r="D144" s="214">
        <f>D139+D140+D142-D141-D143</f>
        <v>1184.7999999999925</v>
      </c>
      <c r="E144" s="214">
        <f t="shared" ref="E144:J144" si="29">E139+E140+E142-E141-E143</f>
        <v>-4.0021319591687643E-12</v>
      </c>
      <c r="F144" s="214">
        <f>F139+F140+F142-F141-F143</f>
        <v>2.3646862246096134E-11</v>
      </c>
      <c r="G144" s="214">
        <f t="shared" si="29"/>
        <v>206.89999999999804</v>
      </c>
      <c r="H144" s="214">
        <f t="shared" si="29"/>
        <v>1941.1000000000029</v>
      </c>
      <c r="I144" s="214">
        <f>I139+I140+I142-I141-I143</f>
        <v>-1108.0000000000023</v>
      </c>
      <c r="J144" s="214">
        <f t="shared" si="29"/>
        <v>-1056.7999999999972</v>
      </c>
      <c r="L144" s="283"/>
    </row>
    <row r="145" spans="1:17" ht="25.15" customHeight="1">
      <c r="A145" s="8" t="s">
        <v>119</v>
      </c>
      <c r="B145" s="9">
        <v>1210</v>
      </c>
      <c r="C145" s="12"/>
      <c r="D145" s="12"/>
      <c r="E145" s="12"/>
      <c r="F145" s="12"/>
      <c r="G145" s="12"/>
      <c r="H145" s="12"/>
      <c r="I145" s="12"/>
      <c r="J145" s="12"/>
    </row>
    <row r="146" spans="1:17" ht="43.9" customHeight="1">
      <c r="A146" s="8" t="s">
        <v>120</v>
      </c>
      <c r="B146" s="9">
        <v>1220</v>
      </c>
      <c r="C146" s="12"/>
      <c r="D146" s="12"/>
      <c r="E146" s="12"/>
      <c r="F146" s="12"/>
      <c r="G146" s="12"/>
      <c r="H146" s="12"/>
      <c r="I146" s="12"/>
      <c r="J146" s="12"/>
    </row>
    <row r="147" spans="1:17" s="5" customFormat="1" ht="52.5" customHeight="1">
      <c r="A147" s="375" t="s">
        <v>261</v>
      </c>
      <c r="B147" s="208">
        <v>1230</v>
      </c>
      <c r="C147" s="214">
        <f t="shared" ref="C147:J147" si="30">C144-C145</f>
        <v>-207.61899999999878</v>
      </c>
      <c r="D147" s="214">
        <f t="shared" si="30"/>
        <v>1184.7999999999925</v>
      </c>
      <c r="E147" s="214">
        <f t="shared" si="30"/>
        <v>-4.0021319591687643E-12</v>
      </c>
      <c r="F147" s="214">
        <f t="shared" si="30"/>
        <v>2.3646862246096134E-11</v>
      </c>
      <c r="G147" s="214">
        <f t="shared" si="30"/>
        <v>206.89999999999804</v>
      </c>
      <c r="H147" s="214">
        <f t="shared" si="30"/>
        <v>1941.1000000000029</v>
      </c>
      <c r="I147" s="214">
        <f t="shared" si="30"/>
        <v>-1108.0000000000023</v>
      </c>
      <c r="J147" s="214">
        <f t="shared" si="30"/>
        <v>-1056.7999999999972</v>
      </c>
      <c r="L147" s="283"/>
    </row>
    <row r="148" spans="1:17" s="5" customFormat="1" ht="52.5" customHeight="1">
      <c r="A148" s="571" t="s">
        <v>209</v>
      </c>
      <c r="B148" s="571"/>
      <c r="C148" s="571"/>
      <c r="D148" s="571"/>
      <c r="E148" s="571"/>
      <c r="F148" s="571"/>
      <c r="G148" s="571"/>
      <c r="H148" s="571"/>
      <c r="I148" s="571"/>
      <c r="J148" s="571"/>
      <c r="L148" s="283"/>
    </row>
    <row r="149" spans="1:17" ht="52.5" customHeight="1">
      <c r="A149" s="121" t="s">
        <v>8</v>
      </c>
      <c r="B149" s="274">
        <v>1240</v>
      </c>
      <c r="C149" s="112">
        <f t="shared" ref="C149:E149" si="31">C33+C77+C140+C142</f>
        <v>42085.3</v>
      </c>
      <c r="D149" s="112">
        <f t="shared" si="31"/>
        <v>55849.19999999999</v>
      </c>
      <c r="E149" s="112">
        <f t="shared" si="31"/>
        <v>61215.3</v>
      </c>
      <c r="F149" s="112">
        <f>F33+F77+F140+F142-F77</f>
        <v>96345.5</v>
      </c>
      <c r="G149" s="112">
        <f t="shared" ref="G149:J149" si="32">G33+G77+G140+G142-G77</f>
        <v>17042.099999999999</v>
      </c>
      <c r="H149" s="112">
        <f t="shared" si="32"/>
        <v>21158.100000000002</v>
      </c>
      <c r="I149" s="112">
        <f t="shared" si="32"/>
        <v>26698.499999999996</v>
      </c>
      <c r="J149" s="112">
        <f t="shared" si="32"/>
        <v>31446.800000000003</v>
      </c>
      <c r="K149" s="282">
        <v>42085.3</v>
      </c>
      <c r="M149" s="282">
        <f>K149-C149</f>
        <v>0</v>
      </c>
    </row>
    <row r="150" spans="1:17" ht="52.5" customHeight="1">
      <c r="A150" s="121" t="s">
        <v>101</v>
      </c>
      <c r="B150" s="274">
        <v>1250</v>
      </c>
      <c r="C150" s="112">
        <f t="shared" ref="C150:J150" si="33">C34+C82+C113+C122+C141+C143+C145</f>
        <v>42292.919000000002</v>
      </c>
      <c r="D150" s="112">
        <f t="shared" si="33"/>
        <v>54664.4</v>
      </c>
      <c r="E150" s="112">
        <f t="shared" si="33"/>
        <v>61215.3</v>
      </c>
      <c r="F150" s="112">
        <f t="shared" si="33"/>
        <v>96345.499999999985</v>
      </c>
      <c r="G150" s="112">
        <v>16835.099999999999</v>
      </c>
      <c r="H150" s="112">
        <v>19216.900000000001</v>
      </c>
      <c r="I150" s="112">
        <f t="shared" si="33"/>
        <v>27806.5</v>
      </c>
      <c r="J150" s="112">
        <f t="shared" si="33"/>
        <v>32503.600000000002</v>
      </c>
      <c r="K150" s="282">
        <v>42292.9</v>
      </c>
      <c r="M150" s="282">
        <f>K150-C150</f>
        <v>-1.9000000000232831E-2</v>
      </c>
    </row>
    <row r="151" spans="1:17" ht="52.5" customHeight="1">
      <c r="A151" s="546" t="s">
        <v>184</v>
      </c>
      <c r="B151" s="546"/>
      <c r="C151" s="546"/>
      <c r="D151" s="546"/>
      <c r="E151" s="546"/>
      <c r="F151" s="546"/>
      <c r="G151" s="546"/>
      <c r="H151" s="546"/>
      <c r="I151" s="546"/>
      <c r="J151" s="546"/>
    </row>
    <row r="152" spans="1:17" ht="52.5" customHeight="1">
      <c r="A152" s="121" t="s">
        <v>210</v>
      </c>
      <c r="B152" s="521">
        <v>1260</v>
      </c>
      <c r="C152" s="292">
        <f t="shared" ref="C152:E152" si="34">C153+C154</f>
        <v>5463.6190000000006</v>
      </c>
      <c r="D152" s="292">
        <f t="shared" si="34"/>
        <v>5093.2999999999993</v>
      </c>
      <c r="E152" s="292">
        <f t="shared" si="34"/>
        <v>8492.7999999999993</v>
      </c>
      <c r="F152" s="292">
        <f>F153+F154</f>
        <v>21176.800000000003</v>
      </c>
      <c r="G152" s="292">
        <f t="shared" ref="G152:J152" si="35">G153+G154</f>
        <v>2236.2999999999997</v>
      </c>
      <c r="H152" s="292">
        <f t="shared" si="35"/>
        <v>5958.7</v>
      </c>
      <c r="I152" s="292">
        <f t="shared" si="35"/>
        <v>5707.5</v>
      </c>
      <c r="J152" s="292">
        <f t="shared" si="35"/>
        <v>7291</v>
      </c>
    </row>
    <row r="153" spans="1:17" ht="52.5" customHeight="1">
      <c r="A153" s="121" t="s">
        <v>208</v>
      </c>
      <c r="B153" s="521">
        <v>1261</v>
      </c>
      <c r="C153" s="292">
        <f>C35</f>
        <v>3445.2190000000001</v>
      </c>
      <c r="D153" s="292">
        <v>2066.4</v>
      </c>
      <c r="E153" s="292">
        <f>E35</f>
        <v>4111.7</v>
      </c>
      <c r="F153" s="270">
        <f t="shared" ref="F153:F158" si="36">G153+H153+I153+J153</f>
        <v>16921.7</v>
      </c>
      <c r="G153" s="292">
        <f>G35+G115</f>
        <v>1230.1999999999998</v>
      </c>
      <c r="H153" s="292">
        <v>5230.5</v>
      </c>
      <c r="I153" s="292">
        <v>5230.5</v>
      </c>
      <c r="J153" s="292">
        <v>5230.5</v>
      </c>
    </row>
    <row r="154" spans="1:17" ht="52.5" customHeight="1">
      <c r="A154" s="121" t="s">
        <v>14</v>
      </c>
      <c r="B154" s="521">
        <v>1262</v>
      </c>
      <c r="C154" s="292">
        <f>C36+C37+C43+C105</f>
        <v>2018.4</v>
      </c>
      <c r="D154" s="292">
        <f>D36+D37+D43+D105</f>
        <v>3026.8999999999996</v>
      </c>
      <c r="E154" s="292">
        <f>E36+E37+E43+E105</f>
        <v>4381.1000000000004</v>
      </c>
      <c r="F154" s="316">
        <f>G154+H154+I154+J154-16.7</f>
        <v>4255.1000000000004</v>
      </c>
      <c r="G154" s="292">
        <v>1006.1</v>
      </c>
      <c r="H154" s="292">
        <f t="shared" ref="H154:J154" si="37">H36+H37+H45+H46+H107+H108+H109+H130+H131+H132</f>
        <v>728.2</v>
      </c>
      <c r="I154" s="292">
        <f t="shared" si="37"/>
        <v>477</v>
      </c>
      <c r="J154" s="292">
        <f t="shared" si="37"/>
        <v>2060.5</v>
      </c>
      <c r="L154" s="282">
        <v>4309.8</v>
      </c>
      <c r="O154" s="282">
        <f>L154-F154</f>
        <v>54.699999999999818</v>
      </c>
    </row>
    <row r="155" spans="1:17" ht="52.5" customHeight="1">
      <c r="A155" s="121" t="s">
        <v>4</v>
      </c>
      <c r="B155" s="521">
        <v>1270</v>
      </c>
      <c r="C155" s="292">
        <f>C38+C90</f>
        <v>26968.6</v>
      </c>
      <c r="D155" s="292">
        <f>D38+D90</f>
        <v>38783.5</v>
      </c>
      <c r="E155" s="292">
        <f>E38+E90</f>
        <v>39346.5</v>
      </c>
      <c r="F155" s="270">
        <f t="shared" si="36"/>
        <v>51664.5</v>
      </c>
      <c r="G155" s="292">
        <f>G38+G90</f>
        <v>10799.4</v>
      </c>
      <c r="H155" s="292">
        <f t="shared" ref="H155:J155" si="38">H38+H90</f>
        <v>10002.800000000001</v>
      </c>
      <c r="I155" s="292">
        <f t="shared" si="38"/>
        <v>14467.5</v>
      </c>
      <c r="J155" s="292">
        <f t="shared" si="38"/>
        <v>16394.8</v>
      </c>
      <c r="K155" s="275">
        <v>42371.774830000002</v>
      </c>
      <c r="L155" s="282">
        <f>F155/K155*100</f>
        <v>121.93140411815031</v>
      </c>
    </row>
    <row r="156" spans="1:17" ht="52.5" customHeight="1">
      <c r="A156" s="121" t="s">
        <v>5</v>
      </c>
      <c r="B156" s="521">
        <v>1280</v>
      </c>
      <c r="C156" s="292">
        <f>C91+C39</f>
        <v>5279.6</v>
      </c>
      <c r="D156" s="292">
        <f>D91+D39</f>
        <v>7655.3</v>
      </c>
      <c r="E156" s="292">
        <f>E91+E39</f>
        <v>7757.2</v>
      </c>
      <c r="F156" s="270">
        <f t="shared" si="36"/>
        <v>11020.6</v>
      </c>
      <c r="G156" s="292">
        <f t="shared" ref="G156:J156" si="39">G91+G39</f>
        <v>2275.6</v>
      </c>
      <c r="H156" s="292">
        <v>2200.6</v>
      </c>
      <c r="I156" s="292">
        <f t="shared" si="39"/>
        <v>2858.4</v>
      </c>
      <c r="J156" s="292">
        <f t="shared" si="39"/>
        <v>3686</v>
      </c>
      <c r="K156" s="360">
        <f>C155+C156</f>
        <v>32248.199999999997</v>
      </c>
      <c r="L156" s="360">
        <f t="shared" ref="L156:N156" si="40">D155+D156</f>
        <v>46438.8</v>
      </c>
      <c r="M156" s="360">
        <f t="shared" si="40"/>
        <v>47103.7</v>
      </c>
      <c r="N156" s="360">
        <f t="shared" si="40"/>
        <v>62685.1</v>
      </c>
      <c r="O156" s="360"/>
      <c r="P156" s="360"/>
      <c r="Q156" s="360"/>
    </row>
    <row r="157" spans="1:17" ht="52.5" customHeight="1">
      <c r="A157" s="121" t="s">
        <v>6</v>
      </c>
      <c r="B157" s="521">
        <v>1290</v>
      </c>
      <c r="C157" s="292">
        <f>C41+C117+C92</f>
        <v>1840.4</v>
      </c>
      <c r="D157" s="292">
        <f>D41+D117</f>
        <v>550.6</v>
      </c>
      <c r="E157" s="292">
        <f>E41+E117+E92</f>
        <v>725.3</v>
      </c>
      <c r="F157" s="270">
        <f t="shared" si="36"/>
        <v>1830.9499999999998</v>
      </c>
      <c r="G157" s="292">
        <f>G41+G117+G92+0.25</f>
        <v>18.350000000000001</v>
      </c>
      <c r="H157" s="292">
        <f t="shared" ref="H157:J157" si="41">H41+H117+H92</f>
        <v>2.4</v>
      </c>
      <c r="I157" s="292">
        <f t="shared" si="41"/>
        <v>217.6</v>
      </c>
      <c r="J157" s="292">
        <f t="shared" si="41"/>
        <v>1592.6</v>
      </c>
      <c r="L157" s="282">
        <v>7655.3</v>
      </c>
    </row>
    <row r="158" spans="1:17" ht="52.5" customHeight="1">
      <c r="A158" s="121" t="s">
        <v>15</v>
      </c>
      <c r="B158" s="521">
        <v>1300</v>
      </c>
      <c r="C158" s="292">
        <f>2745.9-5.2</f>
        <v>2740.7000000000003</v>
      </c>
      <c r="D158" s="292">
        <v>2685.5</v>
      </c>
      <c r="E158" s="292">
        <v>4893.5</v>
      </c>
      <c r="F158" s="316">
        <f t="shared" si="36"/>
        <v>10652.599999999999</v>
      </c>
      <c r="G158" s="292">
        <v>1505.5</v>
      </c>
      <c r="H158" s="292">
        <v>1052.4000000000001</v>
      </c>
      <c r="I158" s="292">
        <v>4555.5</v>
      </c>
      <c r="J158" s="292">
        <v>3539.2</v>
      </c>
    </row>
    <row r="159" spans="1:17" s="5" customFormat="1" ht="52.5" customHeight="1">
      <c r="A159" s="422" t="s">
        <v>45</v>
      </c>
      <c r="B159" s="424">
        <v>1310</v>
      </c>
      <c r="C159" s="293">
        <f t="shared" ref="C159:J159" si="42">C152+C155+C156+C157+C158</f>
        <v>42292.918999999994</v>
      </c>
      <c r="D159" s="293">
        <f t="shared" si="42"/>
        <v>54768.200000000004</v>
      </c>
      <c r="E159" s="293">
        <f t="shared" si="42"/>
        <v>61215.3</v>
      </c>
      <c r="F159" s="293">
        <f>F152+F155+F156+F157+F158</f>
        <v>96345.450000000012</v>
      </c>
      <c r="G159" s="293">
        <v>16835.099999999999</v>
      </c>
      <c r="H159" s="293">
        <f t="shared" si="42"/>
        <v>19216.900000000001</v>
      </c>
      <c r="I159" s="293">
        <f t="shared" si="42"/>
        <v>27806.5</v>
      </c>
      <c r="J159" s="293">
        <f t="shared" si="42"/>
        <v>32503.599999999999</v>
      </c>
      <c r="K159" s="278"/>
      <c r="L159" s="283"/>
    </row>
    <row r="160" spans="1:17" s="5" customFormat="1" ht="52.5" customHeight="1">
      <c r="A160" s="44"/>
      <c r="B160" s="222"/>
      <c r="C160" s="223"/>
      <c r="D160" s="223"/>
      <c r="E160" s="223"/>
      <c r="F160" s="223"/>
      <c r="G160" s="223"/>
      <c r="H160" s="223"/>
      <c r="I160" s="223"/>
      <c r="J160" s="223"/>
      <c r="L160" s="283"/>
    </row>
    <row r="161" spans="1:12" s="5" customFormat="1" ht="15.95" customHeight="1">
      <c r="A161" s="44"/>
      <c r="B161" s="222"/>
      <c r="C161" s="223"/>
      <c r="D161" s="223"/>
      <c r="E161" s="223"/>
      <c r="F161" s="223"/>
      <c r="G161" s="224"/>
      <c r="H161" s="224"/>
      <c r="I161" s="224"/>
      <c r="J161" s="224"/>
      <c r="L161" s="283"/>
    </row>
    <row r="162" spans="1:12" ht="16.5" customHeight="1">
      <c r="A162" s="225"/>
      <c r="C162" s="25"/>
      <c r="D162" s="25"/>
      <c r="E162" s="25"/>
      <c r="F162" s="25"/>
      <c r="G162" s="25"/>
      <c r="H162" s="25"/>
      <c r="I162" s="25"/>
      <c r="J162" s="25"/>
    </row>
    <row r="163" spans="1:12" ht="20.100000000000001" customHeight="1">
      <c r="A163" s="44" t="s">
        <v>411</v>
      </c>
      <c r="B163" s="1"/>
      <c r="C163" s="557" t="s">
        <v>190</v>
      </c>
      <c r="D163" s="557"/>
      <c r="E163" s="557"/>
      <c r="F163" s="557"/>
      <c r="G163" s="14"/>
      <c r="H163" s="558" t="s">
        <v>412</v>
      </c>
      <c r="I163" s="558"/>
      <c r="J163" s="558"/>
    </row>
    <row r="164" spans="1:12" s="2" customFormat="1" ht="20.100000000000001" customHeight="1">
      <c r="A164" s="370" t="s">
        <v>352</v>
      </c>
      <c r="B164" s="373"/>
      <c r="C164" s="553" t="s">
        <v>227</v>
      </c>
      <c r="D164" s="553"/>
      <c r="E164" s="553"/>
      <c r="F164" s="553"/>
      <c r="G164" s="23"/>
      <c r="H164" s="554" t="s">
        <v>89</v>
      </c>
      <c r="I164" s="554"/>
      <c r="J164" s="554"/>
      <c r="L164" s="285"/>
    </row>
    <row r="165" spans="1:12">
      <c r="A165" s="225"/>
      <c r="C165" s="25"/>
      <c r="D165" s="25"/>
      <c r="E165" s="25"/>
      <c r="F165" s="25"/>
      <c r="G165" s="25"/>
      <c r="H165" s="25"/>
      <c r="I165" s="25"/>
      <c r="J165" s="25"/>
    </row>
    <row r="166" spans="1:12">
      <c r="A166" s="225"/>
      <c r="C166" s="276"/>
      <c r="D166" s="25"/>
      <c r="E166" s="25"/>
      <c r="F166" s="25"/>
      <c r="G166" s="25"/>
      <c r="H166" s="25"/>
      <c r="I166" s="25"/>
      <c r="J166" s="25"/>
    </row>
    <row r="167" spans="1:12">
      <c r="A167" s="225"/>
      <c r="C167" s="25"/>
      <c r="D167" s="373"/>
      <c r="E167" s="373"/>
      <c r="F167" s="373"/>
      <c r="G167" s="373"/>
      <c r="H167" s="373"/>
      <c r="I167" s="373"/>
      <c r="J167" s="373"/>
      <c r="L167" s="373"/>
    </row>
    <row r="168" spans="1:12">
      <c r="A168" s="225"/>
      <c r="C168" s="25"/>
      <c r="D168" s="373"/>
      <c r="E168" s="373"/>
      <c r="F168" s="373"/>
      <c r="G168" s="373"/>
      <c r="H168" s="373"/>
      <c r="I168" s="373"/>
      <c r="J168" s="373"/>
      <c r="L168" s="373"/>
    </row>
    <row r="169" spans="1:12">
      <c r="A169" s="225"/>
      <c r="C169" s="25"/>
      <c r="D169" s="373"/>
      <c r="E169" s="373"/>
      <c r="F169" s="360">
        <f>F149-F150</f>
        <v>0</v>
      </c>
      <c r="G169" s="373"/>
      <c r="H169" s="373"/>
      <c r="I169" s="373"/>
      <c r="J169" s="373"/>
      <c r="L169" s="373"/>
    </row>
    <row r="170" spans="1:12">
      <c r="A170" s="225"/>
      <c r="C170" s="25"/>
      <c r="D170" s="373"/>
      <c r="E170" s="373"/>
      <c r="F170" s="373"/>
      <c r="G170" s="373"/>
      <c r="H170" s="373"/>
      <c r="I170" s="373"/>
      <c r="J170" s="373"/>
      <c r="L170" s="373"/>
    </row>
    <row r="171" spans="1:12">
      <c r="A171" s="225"/>
      <c r="C171" s="25"/>
      <c r="D171" s="373"/>
      <c r="E171" s="373"/>
      <c r="F171" s="373"/>
      <c r="G171" s="373"/>
      <c r="H171" s="373"/>
      <c r="I171" s="373"/>
      <c r="J171" s="373"/>
      <c r="L171" s="373"/>
    </row>
    <row r="172" spans="1:12">
      <c r="A172" s="225"/>
      <c r="C172" s="25"/>
      <c r="D172" s="373"/>
      <c r="E172" s="373"/>
      <c r="F172" s="373"/>
      <c r="G172" s="373"/>
      <c r="H172" s="373"/>
      <c r="I172" s="373"/>
      <c r="J172" s="373"/>
      <c r="L172" s="373"/>
    </row>
    <row r="173" spans="1:12">
      <c r="A173" s="225"/>
      <c r="C173" s="25"/>
      <c r="D173" s="373"/>
      <c r="E173" s="373"/>
      <c r="F173" s="373"/>
      <c r="G173" s="373"/>
      <c r="H173" s="373"/>
      <c r="I173" s="373"/>
      <c r="J173" s="373"/>
      <c r="L173" s="373"/>
    </row>
    <row r="174" spans="1:12">
      <c r="A174" s="225"/>
      <c r="C174" s="25"/>
      <c r="D174" s="373"/>
      <c r="E174" s="373"/>
      <c r="F174" s="373"/>
      <c r="G174" s="373"/>
      <c r="H174" s="373"/>
      <c r="I174" s="373"/>
      <c r="J174" s="373"/>
      <c r="L174" s="373"/>
    </row>
    <row r="175" spans="1:12">
      <c r="A175" s="225"/>
      <c r="C175" s="25"/>
      <c r="D175" s="25"/>
      <c r="E175" s="25"/>
      <c r="F175" s="25"/>
      <c r="G175" s="25"/>
      <c r="H175" s="25"/>
      <c r="I175" s="25"/>
      <c r="J175" s="25"/>
    </row>
    <row r="176" spans="1:12">
      <c r="A176" s="225"/>
      <c r="C176" s="25"/>
      <c r="D176" s="25"/>
      <c r="E176" s="25"/>
      <c r="F176" s="25"/>
      <c r="G176" s="25"/>
      <c r="H176" s="25"/>
      <c r="I176" s="25"/>
      <c r="J176" s="25"/>
    </row>
    <row r="177" spans="1:10" s="373" customFormat="1">
      <c r="A177" s="225"/>
      <c r="B177" s="21"/>
      <c r="C177" s="25"/>
      <c r="D177" s="25"/>
      <c r="E177" s="25"/>
      <c r="F177" s="25"/>
      <c r="G177" s="25"/>
      <c r="H177" s="25"/>
      <c r="I177" s="25"/>
      <c r="J177" s="25"/>
    </row>
    <row r="178" spans="1:10" s="373" customFormat="1">
      <c r="A178" s="225"/>
      <c r="B178" s="21"/>
      <c r="C178" s="25"/>
      <c r="D178" s="25"/>
      <c r="E178" s="25"/>
      <c r="F178" s="25"/>
      <c r="G178" s="25"/>
      <c r="H178" s="25"/>
      <c r="I178" s="25"/>
      <c r="J178" s="25"/>
    </row>
    <row r="179" spans="1:10" s="373" customFormat="1">
      <c r="A179" s="225"/>
      <c r="B179" s="21"/>
      <c r="C179" s="25"/>
      <c r="D179" s="25"/>
      <c r="E179" s="25"/>
      <c r="F179" s="25"/>
      <c r="G179" s="25"/>
      <c r="H179" s="25"/>
      <c r="I179" s="25"/>
      <c r="J179" s="25"/>
    </row>
    <row r="180" spans="1:10" s="373" customFormat="1">
      <c r="A180" s="225"/>
      <c r="B180" s="21"/>
      <c r="C180" s="25"/>
      <c r="D180" s="25"/>
      <c r="E180" s="25"/>
      <c r="F180" s="25"/>
      <c r="G180" s="25"/>
      <c r="H180" s="25"/>
      <c r="I180" s="25"/>
      <c r="J180" s="25"/>
    </row>
    <row r="181" spans="1:10" s="373" customFormat="1">
      <c r="A181" s="225"/>
      <c r="B181" s="21"/>
      <c r="C181" s="25"/>
      <c r="D181" s="25"/>
      <c r="E181" s="25"/>
      <c r="F181" s="25"/>
      <c r="G181" s="25"/>
      <c r="H181" s="25"/>
      <c r="I181" s="25"/>
      <c r="J181" s="25"/>
    </row>
    <row r="182" spans="1:10" s="373" customFormat="1">
      <c r="A182" s="225"/>
      <c r="B182" s="21"/>
      <c r="C182" s="25"/>
      <c r="D182" s="25"/>
      <c r="E182" s="25"/>
      <c r="F182" s="25"/>
      <c r="G182" s="25"/>
      <c r="H182" s="25"/>
      <c r="I182" s="25"/>
      <c r="J182" s="25"/>
    </row>
    <row r="183" spans="1:10" s="373" customFormat="1">
      <c r="A183" s="225"/>
      <c r="B183" s="21"/>
      <c r="C183" s="25"/>
      <c r="D183" s="25"/>
      <c r="E183" s="25"/>
      <c r="F183" s="25"/>
      <c r="G183" s="25"/>
      <c r="H183" s="25"/>
      <c r="I183" s="25"/>
      <c r="J183" s="25"/>
    </row>
    <row r="184" spans="1:10" s="373" customFormat="1">
      <c r="A184" s="225"/>
      <c r="B184" s="21"/>
      <c r="C184" s="25"/>
      <c r="D184" s="25"/>
      <c r="E184" s="25"/>
      <c r="F184" s="25"/>
      <c r="G184" s="25"/>
      <c r="H184" s="25"/>
      <c r="I184" s="25"/>
      <c r="J184" s="25"/>
    </row>
    <row r="185" spans="1:10" s="373" customFormat="1">
      <c r="A185" s="225"/>
      <c r="B185" s="21"/>
      <c r="C185" s="25"/>
      <c r="D185" s="25"/>
      <c r="E185" s="25"/>
      <c r="F185" s="25"/>
      <c r="G185" s="25"/>
      <c r="H185" s="25"/>
      <c r="I185" s="25"/>
      <c r="J185" s="25"/>
    </row>
    <row r="186" spans="1:10" s="373" customFormat="1">
      <c r="A186" s="225"/>
      <c r="B186" s="21"/>
      <c r="C186" s="25"/>
      <c r="D186" s="25"/>
      <c r="E186" s="25"/>
      <c r="F186" s="25"/>
      <c r="G186" s="25"/>
      <c r="H186" s="25"/>
      <c r="I186" s="25"/>
      <c r="J186" s="25"/>
    </row>
    <row r="187" spans="1:10" s="373" customFormat="1">
      <c r="A187" s="225"/>
      <c r="B187" s="21"/>
      <c r="C187" s="25"/>
      <c r="D187" s="25"/>
      <c r="E187" s="25"/>
      <c r="F187" s="25"/>
      <c r="G187" s="25"/>
      <c r="H187" s="25"/>
      <c r="I187" s="25"/>
      <c r="J187" s="25"/>
    </row>
    <row r="188" spans="1:10" s="373" customFormat="1">
      <c r="A188" s="225"/>
      <c r="B188" s="21"/>
      <c r="C188" s="25"/>
      <c r="D188" s="25"/>
      <c r="E188" s="25"/>
      <c r="F188" s="25"/>
      <c r="G188" s="25"/>
      <c r="H188" s="25"/>
      <c r="I188" s="25"/>
      <c r="J188" s="25"/>
    </row>
    <row r="189" spans="1:10" s="373" customFormat="1">
      <c r="A189" s="225"/>
      <c r="B189" s="21"/>
      <c r="C189" s="25"/>
      <c r="D189" s="25"/>
      <c r="E189" s="25"/>
      <c r="F189" s="25"/>
      <c r="G189" s="25"/>
      <c r="H189" s="25"/>
      <c r="I189" s="25"/>
      <c r="J189" s="25"/>
    </row>
    <row r="190" spans="1:10" s="373" customFormat="1">
      <c r="A190" s="225"/>
      <c r="B190" s="21"/>
      <c r="C190" s="25"/>
      <c r="D190" s="25"/>
      <c r="E190" s="25"/>
      <c r="F190" s="25"/>
      <c r="G190" s="25"/>
      <c r="H190" s="25"/>
      <c r="I190" s="25"/>
      <c r="J190" s="25"/>
    </row>
    <row r="191" spans="1:10" s="373" customFormat="1">
      <c r="A191" s="225"/>
      <c r="B191" s="21"/>
      <c r="C191" s="25"/>
      <c r="D191" s="25"/>
      <c r="E191" s="25"/>
      <c r="F191" s="25"/>
      <c r="G191" s="25"/>
      <c r="H191" s="25"/>
      <c r="I191" s="25"/>
      <c r="J191" s="25"/>
    </row>
    <row r="192" spans="1:10" s="373" customFormat="1">
      <c r="A192" s="225"/>
      <c r="B192" s="21"/>
      <c r="C192" s="25"/>
      <c r="D192" s="25"/>
      <c r="E192" s="25"/>
      <c r="F192" s="25"/>
      <c r="G192" s="25"/>
      <c r="H192" s="25"/>
      <c r="I192" s="25"/>
      <c r="J192" s="25"/>
    </row>
    <row r="193" spans="1:10" s="373" customFormat="1">
      <c r="A193" s="225"/>
      <c r="B193" s="21"/>
      <c r="C193" s="25"/>
      <c r="D193" s="25"/>
      <c r="E193" s="25"/>
      <c r="F193" s="25"/>
      <c r="G193" s="25"/>
      <c r="H193" s="25"/>
      <c r="I193" s="25"/>
      <c r="J193" s="25"/>
    </row>
    <row r="194" spans="1:10" s="373" customFormat="1">
      <c r="A194" s="225"/>
      <c r="B194" s="21"/>
      <c r="C194" s="25"/>
      <c r="D194" s="25"/>
      <c r="E194" s="25"/>
      <c r="F194" s="25"/>
      <c r="G194" s="25"/>
      <c r="H194" s="25"/>
      <c r="I194" s="25"/>
      <c r="J194" s="25"/>
    </row>
    <row r="195" spans="1:10" s="373" customFormat="1">
      <c r="A195" s="225"/>
      <c r="B195" s="21"/>
      <c r="C195" s="25"/>
      <c r="D195" s="25"/>
      <c r="E195" s="25"/>
      <c r="F195" s="25"/>
      <c r="G195" s="25"/>
      <c r="H195" s="25"/>
      <c r="I195" s="25"/>
      <c r="J195" s="25"/>
    </row>
    <row r="196" spans="1:10" s="373" customFormat="1">
      <c r="A196" s="225"/>
      <c r="B196" s="21"/>
      <c r="C196" s="25"/>
      <c r="D196" s="25"/>
      <c r="E196" s="25"/>
      <c r="F196" s="25"/>
      <c r="G196" s="25"/>
      <c r="H196" s="25"/>
      <c r="I196" s="25"/>
      <c r="J196" s="25"/>
    </row>
    <row r="197" spans="1:10" s="373" customFormat="1">
      <c r="A197" s="225"/>
      <c r="B197" s="21"/>
      <c r="C197" s="25"/>
      <c r="D197" s="25"/>
      <c r="E197" s="25"/>
      <c r="F197" s="25"/>
      <c r="G197" s="25"/>
      <c r="H197" s="25"/>
      <c r="I197" s="25"/>
      <c r="J197" s="25"/>
    </row>
    <row r="198" spans="1:10" s="373" customFormat="1">
      <c r="A198" s="225"/>
      <c r="B198" s="21"/>
      <c r="C198" s="25"/>
      <c r="D198" s="25"/>
      <c r="E198" s="25"/>
      <c r="F198" s="25"/>
      <c r="G198" s="25"/>
      <c r="H198" s="25"/>
      <c r="I198" s="25"/>
      <c r="J198" s="25"/>
    </row>
    <row r="199" spans="1:10" s="373" customFormat="1">
      <c r="A199" s="225"/>
      <c r="B199" s="21"/>
      <c r="C199" s="25"/>
      <c r="D199" s="25"/>
      <c r="E199" s="25"/>
      <c r="F199" s="25"/>
      <c r="G199" s="25"/>
      <c r="H199" s="25"/>
      <c r="I199" s="25"/>
      <c r="J199" s="25"/>
    </row>
    <row r="200" spans="1:10" s="373" customFormat="1">
      <c r="A200" s="225"/>
      <c r="B200" s="21"/>
      <c r="C200" s="25"/>
      <c r="D200" s="25"/>
      <c r="E200" s="25"/>
      <c r="F200" s="25"/>
      <c r="G200" s="25"/>
      <c r="H200" s="25"/>
      <c r="I200" s="25"/>
      <c r="J200" s="25"/>
    </row>
    <row r="201" spans="1:10" s="373" customFormat="1">
      <c r="A201" s="225"/>
      <c r="B201" s="21"/>
      <c r="C201" s="25"/>
      <c r="D201" s="25"/>
      <c r="E201" s="25"/>
      <c r="F201" s="25"/>
      <c r="G201" s="25"/>
      <c r="H201" s="25"/>
      <c r="I201" s="25"/>
      <c r="J201" s="25"/>
    </row>
    <row r="202" spans="1:10" s="373" customFormat="1">
      <c r="A202" s="225"/>
      <c r="B202" s="21"/>
      <c r="C202" s="25"/>
      <c r="D202" s="25"/>
      <c r="E202" s="25"/>
      <c r="F202" s="25"/>
      <c r="G202" s="25"/>
      <c r="H202" s="25"/>
      <c r="I202" s="25"/>
      <c r="J202" s="25"/>
    </row>
    <row r="203" spans="1:10" s="373" customFormat="1">
      <c r="A203" s="225"/>
      <c r="B203" s="21"/>
      <c r="C203" s="25"/>
      <c r="D203" s="25"/>
      <c r="E203" s="25"/>
      <c r="F203" s="25"/>
      <c r="G203" s="25"/>
      <c r="H203" s="25"/>
      <c r="I203" s="25"/>
      <c r="J203" s="25"/>
    </row>
    <row r="204" spans="1:10" s="373" customFormat="1">
      <c r="A204" s="225"/>
      <c r="B204" s="21"/>
      <c r="C204" s="25"/>
      <c r="D204" s="25"/>
      <c r="E204" s="25"/>
      <c r="F204" s="25"/>
      <c r="G204" s="25"/>
      <c r="H204" s="25"/>
      <c r="I204" s="25"/>
      <c r="J204" s="25"/>
    </row>
    <row r="205" spans="1:10" s="373" customFormat="1">
      <c r="A205" s="225"/>
      <c r="B205" s="21"/>
      <c r="C205" s="25"/>
      <c r="D205" s="25"/>
      <c r="E205" s="25"/>
      <c r="F205" s="25"/>
      <c r="G205" s="25"/>
      <c r="H205" s="25"/>
      <c r="I205" s="25"/>
      <c r="J205" s="25"/>
    </row>
    <row r="206" spans="1:10" s="373" customFormat="1">
      <c r="A206" s="225"/>
      <c r="B206" s="21"/>
      <c r="C206" s="25"/>
      <c r="D206" s="25"/>
      <c r="E206" s="25"/>
      <c r="F206" s="25"/>
      <c r="G206" s="25"/>
      <c r="H206" s="25"/>
      <c r="I206" s="25"/>
      <c r="J206" s="25"/>
    </row>
    <row r="207" spans="1:10" s="373" customFormat="1">
      <c r="A207" s="225"/>
      <c r="B207" s="21"/>
      <c r="C207" s="25"/>
      <c r="D207" s="25"/>
      <c r="E207" s="25"/>
      <c r="F207" s="25"/>
      <c r="G207" s="25"/>
      <c r="H207" s="25"/>
      <c r="I207" s="25"/>
      <c r="J207" s="25"/>
    </row>
    <row r="208" spans="1:10" s="373" customFormat="1">
      <c r="A208" s="225"/>
      <c r="B208" s="21"/>
      <c r="C208" s="25"/>
      <c r="D208" s="25"/>
      <c r="E208" s="25"/>
      <c r="F208" s="25"/>
      <c r="G208" s="25"/>
      <c r="H208" s="25"/>
      <c r="I208" s="25"/>
      <c r="J208" s="25"/>
    </row>
    <row r="209" spans="1:10" s="373" customFormat="1">
      <c r="A209" s="225"/>
      <c r="B209" s="21"/>
      <c r="C209" s="25"/>
      <c r="D209" s="25"/>
      <c r="E209" s="25"/>
      <c r="F209" s="25"/>
      <c r="G209" s="25"/>
      <c r="H209" s="25"/>
      <c r="I209" s="25"/>
      <c r="J209" s="25"/>
    </row>
    <row r="210" spans="1:10" s="373" customFormat="1">
      <c r="A210" s="225"/>
      <c r="B210" s="21"/>
      <c r="C210" s="25"/>
      <c r="D210" s="25"/>
      <c r="E210" s="25"/>
      <c r="F210" s="25"/>
      <c r="G210" s="25"/>
      <c r="H210" s="25"/>
      <c r="I210" s="25"/>
      <c r="J210" s="25"/>
    </row>
    <row r="211" spans="1:10" s="373" customFormat="1">
      <c r="A211" s="225"/>
      <c r="B211" s="21"/>
      <c r="C211" s="25"/>
      <c r="D211" s="25"/>
      <c r="E211" s="25"/>
      <c r="F211" s="25"/>
      <c r="G211" s="25"/>
      <c r="H211" s="25"/>
      <c r="I211" s="25"/>
      <c r="J211" s="25"/>
    </row>
    <row r="212" spans="1:10" s="373" customFormat="1">
      <c r="A212" s="225"/>
      <c r="B212" s="21"/>
      <c r="C212" s="25"/>
      <c r="D212" s="25"/>
      <c r="E212" s="25"/>
      <c r="F212" s="25"/>
      <c r="G212" s="25"/>
      <c r="H212" s="25"/>
      <c r="I212" s="25"/>
      <c r="J212" s="25"/>
    </row>
    <row r="213" spans="1:10" s="373" customFormat="1">
      <c r="A213" s="225"/>
      <c r="B213" s="21"/>
      <c r="C213" s="25"/>
      <c r="D213" s="25"/>
      <c r="E213" s="25"/>
      <c r="F213" s="25"/>
      <c r="G213" s="25"/>
      <c r="H213" s="25"/>
      <c r="I213" s="25"/>
      <c r="J213" s="25"/>
    </row>
    <row r="214" spans="1:10" s="373" customFormat="1">
      <c r="A214" s="225"/>
      <c r="B214" s="21"/>
      <c r="C214" s="25"/>
      <c r="D214" s="25"/>
      <c r="E214" s="25"/>
      <c r="F214" s="25"/>
      <c r="G214" s="25"/>
      <c r="H214" s="25"/>
      <c r="I214" s="25"/>
      <c r="J214" s="25"/>
    </row>
    <row r="215" spans="1:10" s="373" customFormat="1">
      <c r="A215" s="225"/>
      <c r="B215" s="21"/>
      <c r="C215" s="25"/>
      <c r="D215" s="25"/>
      <c r="E215" s="25"/>
      <c r="F215" s="25"/>
      <c r="G215" s="25"/>
      <c r="H215" s="25"/>
      <c r="I215" s="25"/>
      <c r="J215" s="25"/>
    </row>
    <row r="216" spans="1:10" s="373" customFormat="1">
      <c r="A216" s="225"/>
      <c r="B216" s="21"/>
      <c r="C216" s="25"/>
      <c r="D216" s="25"/>
      <c r="E216" s="25"/>
      <c r="F216" s="25"/>
      <c r="G216" s="25"/>
      <c r="H216" s="25"/>
      <c r="I216" s="25"/>
      <c r="J216" s="25"/>
    </row>
    <row r="217" spans="1:10" s="373" customFormat="1">
      <c r="A217" s="225"/>
      <c r="B217" s="21"/>
      <c r="C217" s="25"/>
      <c r="D217" s="25"/>
      <c r="E217" s="25"/>
      <c r="F217" s="25"/>
      <c r="G217" s="25"/>
      <c r="H217" s="25"/>
      <c r="I217" s="25"/>
      <c r="J217" s="25"/>
    </row>
    <row r="218" spans="1:10" s="373" customFormat="1">
      <c r="A218" s="225"/>
      <c r="B218" s="21"/>
      <c r="C218" s="25"/>
      <c r="D218" s="25"/>
      <c r="E218" s="25"/>
      <c r="F218" s="25"/>
      <c r="G218" s="25"/>
      <c r="H218" s="25"/>
      <c r="I218" s="25"/>
      <c r="J218" s="25"/>
    </row>
    <row r="219" spans="1:10" s="373" customFormat="1">
      <c r="A219" s="225"/>
      <c r="B219" s="21"/>
      <c r="C219" s="25"/>
      <c r="D219" s="25"/>
      <c r="E219" s="25"/>
      <c r="F219" s="25"/>
      <c r="G219" s="25"/>
      <c r="H219" s="25"/>
      <c r="I219" s="25"/>
      <c r="J219" s="25"/>
    </row>
    <row r="220" spans="1:10" s="373" customFormat="1">
      <c r="A220" s="225"/>
      <c r="B220" s="21"/>
      <c r="C220" s="25"/>
      <c r="D220" s="25"/>
      <c r="E220" s="25"/>
      <c r="F220" s="25"/>
      <c r="G220" s="25"/>
      <c r="H220" s="25"/>
      <c r="I220" s="25"/>
      <c r="J220" s="25"/>
    </row>
    <row r="221" spans="1:10" s="373" customFormat="1">
      <c r="A221" s="225"/>
      <c r="B221" s="21"/>
      <c r="C221" s="25"/>
      <c r="D221" s="25"/>
      <c r="E221" s="25"/>
      <c r="F221" s="25"/>
      <c r="G221" s="25"/>
      <c r="H221" s="25"/>
      <c r="I221" s="25"/>
      <c r="J221" s="25"/>
    </row>
    <row r="222" spans="1:10" s="373" customFormat="1">
      <c r="A222" s="37"/>
      <c r="B222" s="21"/>
      <c r="C222" s="21"/>
      <c r="D222" s="21"/>
      <c r="E222" s="21"/>
      <c r="F222" s="21"/>
      <c r="G222" s="21"/>
      <c r="H222" s="21"/>
      <c r="I222" s="21"/>
      <c r="J222" s="21"/>
    </row>
    <row r="223" spans="1:10" s="373" customFormat="1">
      <c r="A223" s="37"/>
      <c r="B223" s="21"/>
      <c r="C223" s="21"/>
      <c r="D223" s="21"/>
      <c r="E223" s="21"/>
      <c r="F223" s="21"/>
      <c r="G223" s="21"/>
      <c r="H223" s="21"/>
      <c r="I223" s="21"/>
      <c r="J223" s="21"/>
    </row>
    <row r="224" spans="1:10" s="373" customFormat="1">
      <c r="A224" s="37"/>
      <c r="B224" s="21"/>
      <c r="C224" s="21"/>
      <c r="D224" s="21"/>
      <c r="E224" s="21"/>
      <c r="F224" s="21"/>
      <c r="G224" s="21"/>
      <c r="H224" s="21"/>
      <c r="I224" s="21"/>
      <c r="J224" s="21"/>
    </row>
    <row r="225" spans="1:1" s="373" customFormat="1">
      <c r="A225" s="37"/>
    </row>
    <row r="226" spans="1:1" s="373" customFormat="1">
      <c r="A226" s="37"/>
    </row>
    <row r="227" spans="1:1" s="373" customFormat="1">
      <c r="A227" s="37"/>
    </row>
    <row r="228" spans="1:1" s="373" customFormat="1">
      <c r="A228" s="37"/>
    </row>
    <row r="229" spans="1:1" s="373" customFormat="1">
      <c r="A229" s="37"/>
    </row>
    <row r="230" spans="1:1" s="373" customFormat="1">
      <c r="A230" s="37"/>
    </row>
    <row r="231" spans="1:1" s="373" customFormat="1">
      <c r="A231" s="37"/>
    </row>
    <row r="232" spans="1:1" s="373" customFormat="1">
      <c r="A232" s="37"/>
    </row>
    <row r="233" spans="1:1" s="373" customFormat="1">
      <c r="A233" s="37"/>
    </row>
    <row r="234" spans="1:1" s="373" customFormat="1">
      <c r="A234" s="37"/>
    </row>
    <row r="235" spans="1:1" s="373" customFormat="1">
      <c r="A235" s="37"/>
    </row>
    <row r="236" spans="1:1" s="373" customFormat="1">
      <c r="A236" s="37"/>
    </row>
    <row r="237" spans="1:1" s="373" customFormat="1">
      <c r="A237" s="37"/>
    </row>
    <row r="238" spans="1:1" s="373" customFormat="1">
      <c r="A238" s="37"/>
    </row>
    <row r="239" spans="1:1" s="373" customFormat="1">
      <c r="A239" s="37"/>
    </row>
    <row r="240" spans="1:1" s="373" customFormat="1">
      <c r="A240" s="37"/>
    </row>
    <row r="241" spans="1:1" s="373" customFormat="1">
      <c r="A241" s="37"/>
    </row>
    <row r="242" spans="1:1" s="373" customFormat="1">
      <c r="A242" s="37"/>
    </row>
    <row r="243" spans="1:1" s="373" customFormat="1">
      <c r="A243" s="37"/>
    </row>
    <row r="244" spans="1:1" s="373" customFormat="1">
      <c r="A244" s="37"/>
    </row>
    <row r="245" spans="1:1" s="373" customFormat="1">
      <c r="A245" s="37"/>
    </row>
    <row r="246" spans="1:1" s="373" customFormat="1">
      <c r="A246" s="37"/>
    </row>
    <row r="247" spans="1:1" s="373" customFormat="1">
      <c r="A247" s="37"/>
    </row>
    <row r="248" spans="1:1" s="373" customFormat="1">
      <c r="A248" s="37"/>
    </row>
    <row r="249" spans="1:1" s="373" customFormat="1">
      <c r="A249" s="37"/>
    </row>
    <row r="250" spans="1:1" s="373" customFormat="1">
      <c r="A250" s="37"/>
    </row>
    <row r="251" spans="1:1" s="373" customFormat="1">
      <c r="A251" s="37"/>
    </row>
    <row r="252" spans="1:1" s="373" customFormat="1">
      <c r="A252" s="37"/>
    </row>
    <row r="253" spans="1:1" s="373" customFormat="1">
      <c r="A253" s="37"/>
    </row>
    <row r="254" spans="1:1" s="373" customFormat="1">
      <c r="A254" s="37"/>
    </row>
    <row r="255" spans="1:1" s="373" customFormat="1">
      <c r="A255" s="37"/>
    </row>
    <row r="256" spans="1:1" s="373" customFormat="1">
      <c r="A256" s="37"/>
    </row>
    <row r="257" spans="1:1" s="373" customFormat="1">
      <c r="A257" s="37"/>
    </row>
    <row r="258" spans="1:1" s="373" customFormat="1">
      <c r="A258" s="37"/>
    </row>
    <row r="259" spans="1:1" s="373" customFormat="1">
      <c r="A259" s="37"/>
    </row>
    <row r="260" spans="1:1" s="373" customFormat="1">
      <c r="A260" s="37"/>
    </row>
    <row r="261" spans="1:1" s="373" customFormat="1">
      <c r="A261" s="37"/>
    </row>
    <row r="262" spans="1:1" s="373" customFormat="1">
      <c r="A262" s="37"/>
    </row>
    <row r="263" spans="1:1" s="373" customFormat="1">
      <c r="A263" s="37"/>
    </row>
    <row r="264" spans="1:1" s="373" customFormat="1">
      <c r="A264" s="37"/>
    </row>
    <row r="265" spans="1:1" s="373" customFormat="1">
      <c r="A265" s="37"/>
    </row>
    <row r="266" spans="1:1" s="373" customFormat="1">
      <c r="A266" s="37"/>
    </row>
    <row r="267" spans="1:1" s="373" customFormat="1">
      <c r="A267" s="37"/>
    </row>
    <row r="268" spans="1:1" s="373" customFormat="1">
      <c r="A268" s="37"/>
    </row>
    <row r="269" spans="1:1" s="373" customFormat="1">
      <c r="A269" s="37"/>
    </row>
    <row r="270" spans="1:1" s="373" customFormat="1">
      <c r="A270" s="37"/>
    </row>
    <row r="271" spans="1:1" s="373" customFormat="1">
      <c r="A271" s="37"/>
    </row>
    <row r="272" spans="1:1" s="373" customFormat="1">
      <c r="A272" s="37"/>
    </row>
    <row r="273" spans="1:1" s="373" customFormat="1">
      <c r="A273" s="37"/>
    </row>
    <row r="274" spans="1:1" s="373" customFormat="1">
      <c r="A274" s="37"/>
    </row>
    <row r="275" spans="1:1" s="373" customFormat="1">
      <c r="A275" s="37"/>
    </row>
    <row r="276" spans="1:1" s="373" customFormat="1">
      <c r="A276" s="37"/>
    </row>
    <row r="277" spans="1:1" s="373" customFormat="1">
      <c r="A277" s="37"/>
    </row>
    <row r="278" spans="1:1" s="373" customFormat="1">
      <c r="A278" s="37"/>
    </row>
    <row r="279" spans="1:1" s="373" customFormat="1">
      <c r="A279" s="37"/>
    </row>
    <row r="280" spans="1:1" s="373" customFormat="1">
      <c r="A280" s="37"/>
    </row>
    <row r="281" spans="1:1" s="373" customFormat="1">
      <c r="A281" s="37"/>
    </row>
    <row r="282" spans="1:1" s="373" customFormat="1">
      <c r="A282" s="37"/>
    </row>
    <row r="283" spans="1:1" s="373" customFormat="1">
      <c r="A283" s="37"/>
    </row>
    <row r="284" spans="1:1" s="373" customFormat="1">
      <c r="A284" s="37"/>
    </row>
    <row r="285" spans="1:1" s="373" customFormat="1">
      <c r="A285" s="37"/>
    </row>
    <row r="286" spans="1:1" s="373" customFormat="1">
      <c r="A286" s="37"/>
    </row>
    <row r="287" spans="1:1" s="373" customFormat="1">
      <c r="A287" s="37"/>
    </row>
    <row r="288" spans="1:1" s="373" customFormat="1">
      <c r="A288" s="37"/>
    </row>
    <row r="289" spans="1:1" s="373" customFormat="1">
      <c r="A289" s="37"/>
    </row>
    <row r="290" spans="1:1" s="373" customFormat="1">
      <c r="A290" s="37"/>
    </row>
    <row r="291" spans="1:1" s="373" customFormat="1">
      <c r="A291" s="37"/>
    </row>
    <row r="292" spans="1:1" s="373" customFormat="1">
      <c r="A292" s="37"/>
    </row>
    <row r="293" spans="1:1" s="373" customFormat="1">
      <c r="A293" s="37"/>
    </row>
    <row r="294" spans="1:1" s="373" customFormat="1">
      <c r="A294" s="37"/>
    </row>
    <row r="295" spans="1:1" s="373" customFormat="1">
      <c r="A295" s="37"/>
    </row>
    <row r="296" spans="1:1" s="373" customFormat="1">
      <c r="A296" s="37"/>
    </row>
    <row r="297" spans="1:1" s="373" customFormat="1">
      <c r="A297" s="37"/>
    </row>
    <row r="298" spans="1:1" s="373" customFormat="1">
      <c r="A298" s="37"/>
    </row>
    <row r="299" spans="1:1" s="373" customFormat="1">
      <c r="A299" s="37"/>
    </row>
    <row r="300" spans="1:1" s="373" customFormat="1">
      <c r="A300" s="37"/>
    </row>
    <row r="301" spans="1:1" s="373" customFormat="1">
      <c r="A301" s="37"/>
    </row>
    <row r="302" spans="1:1" s="373" customFormat="1">
      <c r="A302" s="37"/>
    </row>
    <row r="303" spans="1:1" s="373" customFormat="1">
      <c r="A303" s="37"/>
    </row>
    <row r="304" spans="1:1" s="373" customFormat="1">
      <c r="A304" s="37"/>
    </row>
    <row r="305" spans="1:1" s="373" customFormat="1">
      <c r="A305" s="37"/>
    </row>
    <row r="306" spans="1:1" s="373" customFormat="1">
      <c r="A306" s="37"/>
    </row>
    <row r="307" spans="1:1" s="373" customFormat="1">
      <c r="A307" s="37"/>
    </row>
    <row r="308" spans="1:1" s="373" customFormat="1">
      <c r="A308" s="37"/>
    </row>
    <row r="309" spans="1:1" s="373" customFormat="1">
      <c r="A309" s="37"/>
    </row>
    <row r="310" spans="1:1" s="373" customFormat="1">
      <c r="A310" s="37"/>
    </row>
    <row r="311" spans="1:1" s="373" customFormat="1">
      <c r="A311" s="37"/>
    </row>
    <row r="312" spans="1:1" s="373" customFormat="1">
      <c r="A312" s="37"/>
    </row>
    <row r="313" spans="1:1" s="373" customFormat="1">
      <c r="A313" s="37"/>
    </row>
    <row r="314" spans="1:1" s="373" customFormat="1">
      <c r="A314" s="37"/>
    </row>
    <row r="315" spans="1:1" s="373" customFormat="1">
      <c r="A315" s="37"/>
    </row>
    <row r="316" spans="1:1" s="373" customFormat="1">
      <c r="A316" s="37"/>
    </row>
    <row r="317" spans="1:1" s="373" customFormat="1">
      <c r="A317" s="37"/>
    </row>
    <row r="318" spans="1:1" s="373" customFormat="1">
      <c r="A318" s="37"/>
    </row>
    <row r="319" spans="1:1" s="373" customFormat="1">
      <c r="A319" s="37"/>
    </row>
    <row r="320" spans="1:1" s="373" customFormat="1">
      <c r="A320" s="37"/>
    </row>
    <row r="321" spans="1:1" s="373" customFormat="1">
      <c r="A321" s="37"/>
    </row>
    <row r="322" spans="1:1" s="373" customFormat="1">
      <c r="A322" s="37"/>
    </row>
    <row r="323" spans="1:1" s="373" customFormat="1">
      <c r="A323" s="37"/>
    </row>
    <row r="324" spans="1:1" s="373" customFormat="1">
      <c r="A324" s="37"/>
    </row>
    <row r="325" spans="1:1" s="373" customFormat="1">
      <c r="A325" s="37"/>
    </row>
    <row r="326" spans="1:1" s="373" customFormat="1">
      <c r="A326" s="37"/>
    </row>
    <row r="327" spans="1:1" s="373" customFormat="1">
      <c r="A327" s="37"/>
    </row>
    <row r="328" spans="1:1" s="373" customFormat="1">
      <c r="A328" s="37"/>
    </row>
    <row r="329" spans="1:1" s="373" customFormat="1">
      <c r="A329" s="37"/>
    </row>
    <row r="330" spans="1:1" s="373" customFormat="1">
      <c r="A330" s="37"/>
    </row>
    <row r="331" spans="1:1" s="373" customFormat="1">
      <c r="A331" s="37"/>
    </row>
    <row r="332" spans="1:1" s="373" customFormat="1">
      <c r="A332" s="37"/>
    </row>
    <row r="333" spans="1:1" s="373" customFormat="1">
      <c r="A333" s="37"/>
    </row>
    <row r="334" spans="1:1" s="373" customFormat="1">
      <c r="A334" s="37"/>
    </row>
    <row r="335" spans="1:1" s="373" customFormat="1">
      <c r="A335" s="37"/>
    </row>
    <row r="336" spans="1:1" s="373" customFormat="1">
      <c r="A336" s="37"/>
    </row>
    <row r="337" spans="1:1" s="373" customFormat="1">
      <c r="A337" s="37"/>
    </row>
    <row r="338" spans="1:1" s="373" customFormat="1">
      <c r="A338" s="37"/>
    </row>
    <row r="339" spans="1:1" s="373" customFormat="1">
      <c r="A339" s="37"/>
    </row>
    <row r="340" spans="1:1" s="373" customFormat="1">
      <c r="A340" s="37"/>
    </row>
    <row r="341" spans="1:1" s="373" customFormat="1">
      <c r="A341" s="37"/>
    </row>
    <row r="342" spans="1:1" s="373" customFormat="1">
      <c r="A342" s="37"/>
    </row>
    <row r="343" spans="1:1" s="373" customFormat="1">
      <c r="A343" s="37"/>
    </row>
    <row r="344" spans="1:1" s="373" customFormat="1">
      <c r="A344" s="37"/>
    </row>
    <row r="345" spans="1:1" s="373" customFormat="1">
      <c r="A345" s="37"/>
    </row>
    <row r="346" spans="1:1" s="373" customFormat="1">
      <c r="A346" s="37"/>
    </row>
    <row r="347" spans="1:1" s="373" customFormat="1">
      <c r="A347" s="37"/>
    </row>
    <row r="348" spans="1:1" s="373" customFormat="1">
      <c r="A348" s="37"/>
    </row>
    <row r="349" spans="1:1" s="373" customFormat="1">
      <c r="A349" s="37"/>
    </row>
    <row r="350" spans="1:1" s="373" customFormat="1">
      <c r="A350" s="37"/>
    </row>
    <row r="351" spans="1:1" s="373" customFormat="1">
      <c r="A351" s="37"/>
    </row>
    <row r="352" spans="1:1" s="373" customFormat="1">
      <c r="A352" s="37"/>
    </row>
    <row r="353" spans="1:1" s="373" customFormat="1">
      <c r="A353" s="37"/>
    </row>
    <row r="354" spans="1:1" s="373" customFormat="1">
      <c r="A354" s="37"/>
    </row>
    <row r="355" spans="1:1" s="373" customFormat="1">
      <c r="A355" s="37"/>
    </row>
    <row r="356" spans="1:1" s="373" customFormat="1">
      <c r="A356" s="37"/>
    </row>
    <row r="357" spans="1:1" s="373" customFormat="1">
      <c r="A357" s="37"/>
    </row>
    <row r="358" spans="1:1" s="373" customFormat="1">
      <c r="A358" s="37"/>
    </row>
    <row r="359" spans="1:1" s="373" customFormat="1">
      <c r="A359" s="37"/>
    </row>
    <row r="360" spans="1:1" s="373" customFormat="1">
      <c r="A360" s="37"/>
    </row>
    <row r="361" spans="1:1" s="373" customFormat="1">
      <c r="A361" s="37"/>
    </row>
    <row r="362" spans="1:1" s="373" customFormat="1">
      <c r="A362" s="37"/>
    </row>
    <row r="363" spans="1:1" s="373" customFormat="1">
      <c r="A363" s="37"/>
    </row>
    <row r="364" spans="1:1" s="373" customFormat="1">
      <c r="A364" s="37"/>
    </row>
    <row r="365" spans="1:1" s="373" customFormat="1">
      <c r="A365" s="37"/>
    </row>
    <row r="366" spans="1:1" s="373" customFormat="1">
      <c r="A366" s="37"/>
    </row>
    <row r="367" spans="1:1" s="373" customFormat="1">
      <c r="A367" s="37"/>
    </row>
    <row r="368" spans="1:1" s="373" customFormat="1">
      <c r="A368" s="37"/>
    </row>
    <row r="369" spans="1:1" s="373" customFormat="1">
      <c r="A369" s="37"/>
    </row>
    <row r="370" spans="1:1" s="373" customFormat="1">
      <c r="A370" s="37"/>
    </row>
    <row r="371" spans="1:1" s="373" customFormat="1">
      <c r="A371" s="37"/>
    </row>
    <row r="372" spans="1:1" s="373" customFormat="1">
      <c r="A372" s="37"/>
    </row>
    <row r="373" spans="1:1" s="373" customFormat="1">
      <c r="A373" s="37"/>
    </row>
    <row r="374" spans="1:1" s="373" customFormat="1">
      <c r="A374" s="37"/>
    </row>
    <row r="375" spans="1:1" s="373" customFormat="1">
      <c r="A375" s="37"/>
    </row>
    <row r="376" spans="1:1" s="373" customFormat="1">
      <c r="A376" s="37"/>
    </row>
    <row r="377" spans="1:1" s="373" customFormat="1">
      <c r="A377" s="37"/>
    </row>
    <row r="378" spans="1:1" s="373" customFormat="1">
      <c r="A378" s="37"/>
    </row>
    <row r="379" spans="1:1" s="373" customFormat="1">
      <c r="A379" s="37"/>
    </row>
    <row r="380" spans="1:1" s="373" customFormat="1">
      <c r="A380" s="37"/>
    </row>
    <row r="381" spans="1:1" s="373" customFormat="1">
      <c r="A381" s="37"/>
    </row>
    <row r="382" spans="1:1" s="373" customFormat="1">
      <c r="A382" s="37"/>
    </row>
    <row r="383" spans="1:1" s="373" customFormat="1">
      <c r="A383" s="37"/>
    </row>
    <row r="384" spans="1:1" s="373" customFormat="1">
      <c r="A384" s="37"/>
    </row>
    <row r="385" spans="1:1" s="373" customFormat="1">
      <c r="A385" s="37"/>
    </row>
    <row r="386" spans="1:1" s="373" customFormat="1">
      <c r="A386" s="37"/>
    </row>
    <row r="387" spans="1:1" s="373" customFormat="1">
      <c r="A387" s="37"/>
    </row>
    <row r="388" spans="1:1" s="373" customFormat="1">
      <c r="A388" s="37"/>
    </row>
  </sheetData>
  <mergeCells count="15">
    <mergeCell ref="H164:J164"/>
    <mergeCell ref="G6:J6"/>
    <mergeCell ref="A9:J9"/>
    <mergeCell ref="A148:J148"/>
    <mergeCell ref="C163:F163"/>
    <mergeCell ref="H163:J163"/>
    <mergeCell ref="C164:F164"/>
    <mergeCell ref="A4:J4"/>
    <mergeCell ref="B6:B7"/>
    <mergeCell ref="A151:J151"/>
    <mergeCell ref="F6:F7"/>
    <mergeCell ref="D6:D7"/>
    <mergeCell ref="A6:A7"/>
    <mergeCell ref="E6:E7"/>
    <mergeCell ref="C6:C7"/>
  </mergeCells>
  <phoneticPr fontId="0" type="noConversion"/>
  <pageMargins left="0.59055118110236227" right="0.19685039370078741" top="0.78740157480314965" bottom="0.39370078740157483" header="0.19685039370078741" footer="0.11811023622047245"/>
  <pageSetup paperSize="9" scale="47" fitToHeight="0" orientation="portrait" verticalDpi="300" r:id="rId1"/>
  <headerFooter alignWithMargins="0">
    <oddHeader xml:space="preserve">&amp;C&amp;"Times New Roman,обычный"&amp;16 
&amp;18 5&amp;R&amp;"Times New Roman,обычный"&amp;14 
Продовження додатка 1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4:L189"/>
  <sheetViews>
    <sheetView view="pageBreakPreview" zoomScale="80" zoomScaleNormal="75" zoomScaleSheetLayoutView="80" workbookViewId="0">
      <selection activeCell="C22" sqref="C22"/>
    </sheetView>
  </sheetViews>
  <sheetFormatPr defaultColWidth="77.85546875" defaultRowHeight="18.75" outlineLevelRow="1"/>
  <cols>
    <col min="1" max="1" width="84" style="32" customWidth="1"/>
    <col min="2" max="2" width="10.7109375" style="35" customWidth="1"/>
    <col min="3" max="5" width="15.85546875" style="35" customWidth="1"/>
    <col min="6" max="10" width="15.85546875" style="32" customWidth="1"/>
    <col min="11" max="11" width="10" style="32" customWidth="1"/>
    <col min="12" max="12" width="9.5703125" style="32" customWidth="1"/>
    <col min="13" max="255" width="9.140625" style="32" customWidth="1"/>
    <col min="256" max="16384" width="77.85546875" style="32"/>
  </cols>
  <sheetData>
    <row r="4" spans="1:10">
      <c r="A4" s="572" t="s">
        <v>130</v>
      </c>
      <c r="B4" s="572"/>
      <c r="C4" s="572"/>
      <c r="D4" s="572"/>
      <c r="E4" s="572"/>
      <c r="F4" s="572"/>
      <c r="G4" s="572"/>
      <c r="H4" s="572"/>
      <c r="I4" s="572"/>
      <c r="J4" s="572"/>
    </row>
    <row r="5" spans="1:10" outlineLevel="1">
      <c r="A5" s="31"/>
      <c r="B5" s="40"/>
      <c r="C5" s="31"/>
      <c r="D5" s="31"/>
      <c r="E5" s="31"/>
      <c r="F5" s="31"/>
      <c r="G5" s="31"/>
      <c r="H5" s="31"/>
      <c r="I5" s="31"/>
      <c r="J5" s="31"/>
    </row>
    <row r="6" spans="1:10" ht="38.25" customHeight="1">
      <c r="A6" s="555" t="s">
        <v>196</v>
      </c>
      <c r="B6" s="573" t="s">
        <v>7</v>
      </c>
      <c r="C6" s="573" t="s">
        <v>17</v>
      </c>
      <c r="D6" s="563" t="s">
        <v>287</v>
      </c>
      <c r="E6" s="574" t="s">
        <v>283</v>
      </c>
      <c r="F6" s="556" t="s">
        <v>9</v>
      </c>
      <c r="G6" s="556" t="s">
        <v>284</v>
      </c>
      <c r="H6" s="556"/>
      <c r="I6" s="556"/>
      <c r="J6" s="556"/>
    </row>
    <row r="7" spans="1:10" ht="50.25" customHeight="1">
      <c r="A7" s="555"/>
      <c r="B7" s="573"/>
      <c r="C7" s="573"/>
      <c r="D7" s="567"/>
      <c r="E7" s="567"/>
      <c r="F7" s="556"/>
      <c r="G7" s="15" t="s">
        <v>155</v>
      </c>
      <c r="H7" s="15" t="s">
        <v>156</v>
      </c>
      <c r="I7" s="15" t="s">
        <v>157</v>
      </c>
      <c r="J7" s="15" t="s">
        <v>61</v>
      </c>
    </row>
    <row r="8" spans="1:10" ht="18" customHeight="1">
      <c r="A8" s="38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</row>
    <row r="9" spans="1:10" ht="24.95" customHeight="1">
      <c r="A9" s="575" t="s">
        <v>126</v>
      </c>
      <c r="B9" s="575"/>
      <c r="C9" s="575"/>
      <c r="D9" s="575"/>
      <c r="E9" s="575"/>
      <c r="F9" s="575"/>
      <c r="G9" s="575"/>
      <c r="H9" s="575"/>
      <c r="I9" s="575"/>
      <c r="J9" s="575"/>
    </row>
    <row r="10" spans="1:10" ht="42.75" customHeight="1">
      <c r="A10" s="33" t="s">
        <v>47</v>
      </c>
      <c r="B10" s="7">
        <v>2000</v>
      </c>
      <c r="C10" s="96"/>
      <c r="D10" s="96"/>
      <c r="E10" s="96"/>
      <c r="F10" s="96"/>
      <c r="G10" s="96"/>
      <c r="H10" s="96"/>
      <c r="I10" s="96"/>
      <c r="J10" s="96"/>
    </row>
    <row r="11" spans="1:10" ht="20.100000000000001" customHeight="1">
      <c r="A11" s="33" t="s">
        <v>262</v>
      </c>
      <c r="B11" s="7">
        <v>2010</v>
      </c>
      <c r="C11" s="100"/>
      <c r="D11" s="100"/>
      <c r="E11" s="100"/>
      <c r="F11" s="100"/>
      <c r="G11" s="101"/>
      <c r="H11" s="101"/>
      <c r="I11" s="101"/>
      <c r="J11" s="101"/>
    </row>
    <row r="12" spans="1:10" ht="20.100000000000001" customHeight="1">
      <c r="A12" s="8" t="s">
        <v>158</v>
      </c>
      <c r="B12" s="7">
        <v>2020</v>
      </c>
      <c r="C12" s="100"/>
      <c r="D12" s="100"/>
      <c r="E12" s="100"/>
      <c r="F12" s="100"/>
      <c r="G12" s="101"/>
      <c r="H12" s="101"/>
      <c r="I12" s="101"/>
      <c r="J12" s="101"/>
    </row>
    <row r="13" spans="1:10" s="34" customFormat="1" ht="20.100000000000001" customHeight="1">
      <c r="A13" s="33" t="s">
        <v>58</v>
      </c>
      <c r="B13" s="7">
        <v>2030</v>
      </c>
      <c r="C13" s="100"/>
      <c r="D13" s="100"/>
      <c r="E13" s="100"/>
      <c r="F13" s="100"/>
      <c r="G13" s="100"/>
      <c r="H13" s="100"/>
      <c r="I13" s="100"/>
      <c r="J13" s="100"/>
    </row>
    <row r="14" spans="1:10" ht="20.100000000000001" customHeight="1">
      <c r="A14" s="33" t="s">
        <v>114</v>
      </c>
      <c r="B14" s="7">
        <v>2031</v>
      </c>
      <c r="C14" s="100"/>
      <c r="D14" s="100"/>
      <c r="E14" s="100"/>
      <c r="F14" s="100"/>
      <c r="G14" s="100"/>
      <c r="H14" s="100"/>
      <c r="I14" s="100"/>
      <c r="J14" s="100"/>
    </row>
    <row r="15" spans="1:10" ht="20.100000000000001" customHeight="1">
      <c r="A15" s="33" t="s">
        <v>12</v>
      </c>
      <c r="B15" s="7">
        <v>2040</v>
      </c>
      <c r="C15" s="102"/>
      <c r="D15" s="102"/>
      <c r="E15" s="102"/>
      <c r="F15" s="100"/>
      <c r="G15" s="100"/>
      <c r="H15" s="100"/>
      <c r="I15" s="100"/>
      <c r="J15" s="100"/>
    </row>
    <row r="16" spans="1:10" ht="20.100000000000001" customHeight="1">
      <c r="A16" s="33" t="s">
        <v>100</v>
      </c>
      <c r="B16" s="7">
        <v>2050</v>
      </c>
      <c r="C16" s="100"/>
      <c r="D16" s="100"/>
      <c r="E16" s="100"/>
      <c r="F16" s="100"/>
      <c r="G16" s="100"/>
      <c r="H16" s="100"/>
      <c r="I16" s="100"/>
      <c r="J16" s="100"/>
    </row>
    <row r="17" spans="1:12" ht="20.100000000000001" customHeight="1">
      <c r="A17" s="33" t="s">
        <v>295</v>
      </c>
      <c r="B17" s="7">
        <v>2060</v>
      </c>
      <c r="C17" s="100"/>
      <c r="D17" s="100"/>
      <c r="E17" s="100"/>
      <c r="F17" s="100"/>
      <c r="G17" s="100"/>
      <c r="H17" s="100"/>
      <c r="I17" s="100"/>
      <c r="J17" s="100"/>
    </row>
    <row r="18" spans="1:12" ht="42.75" customHeight="1">
      <c r="A18" s="33" t="s">
        <v>48</v>
      </c>
      <c r="B18" s="7">
        <v>2070</v>
      </c>
      <c r="C18" s="100"/>
      <c r="D18" s="100">
        <v>8475.1</v>
      </c>
      <c r="E18" s="100">
        <v>8475.1</v>
      </c>
      <c r="F18" s="100"/>
      <c r="G18" s="100"/>
      <c r="H18" s="100"/>
      <c r="I18" s="100"/>
      <c r="J18" s="100"/>
    </row>
    <row r="19" spans="1:12" ht="20.100000000000001" customHeight="1">
      <c r="A19" s="575" t="s">
        <v>127</v>
      </c>
      <c r="B19" s="575"/>
      <c r="C19" s="575"/>
      <c r="D19" s="575"/>
      <c r="E19" s="575"/>
      <c r="F19" s="575"/>
      <c r="G19" s="575"/>
      <c r="H19" s="575"/>
      <c r="I19" s="575"/>
      <c r="J19" s="575"/>
    </row>
    <row r="20" spans="1:12" ht="20.100000000000001" customHeight="1">
      <c r="A20" s="33" t="s">
        <v>262</v>
      </c>
      <c r="B20" s="7">
        <v>2100</v>
      </c>
      <c r="C20" s="100"/>
      <c r="D20" s="100"/>
      <c r="E20" s="100"/>
      <c r="F20" s="100"/>
      <c r="G20" s="101"/>
      <c r="H20" s="101"/>
      <c r="I20" s="101"/>
      <c r="J20" s="101"/>
    </row>
    <row r="21" spans="1:12" s="34" customFormat="1" ht="20.100000000000001" customHeight="1">
      <c r="A21" s="33" t="s">
        <v>129</v>
      </c>
      <c r="B21" s="39">
        <v>2110</v>
      </c>
      <c r="C21" s="100"/>
      <c r="D21" s="125"/>
      <c r="E21" s="125"/>
      <c r="F21" s="125"/>
      <c r="G21" s="125"/>
      <c r="H21" s="125"/>
      <c r="I21" s="125"/>
      <c r="J21" s="125"/>
    </row>
    <row r="22" spans="1:12" ht="42.75" customHeight="1">
      <c r="A22" s="33" t="s">
        <v>228</v>
      </c>
      <c r="B22" s="39">
        <v>2120</v>
      </c>
      <c r="C22" s="125"/>
      <c r="D22" s="125"/>
      <c r="E22" s="125"/>
      <c r="F22" s="125"/>
      <c r="G22" s="126"/>
      <c r="H22" s="126"/>
      <c r="I22" s="126"/>
      <c r="J22" s="126"/>
    </row>
    <row r="23" spans="1:12" ht="42.75" customHeight="1">
      <c r="A23" s="33" t="s">
        <v>229</v>
      </c>
      <c r="B23" s="39">
        <v>2130</v>
      </c>
      <c r="C23" s="125"/>
      <c r="D23" s="125"/>
      <c r="E23" s="125"/>
      <c r="F23" s="125"/>
      <c r="G23" s="126"/>
      <c r="H23" s="126"/>
      <c r="I23" s="126"/>
      <c r="J23" s="126"/>
    </row>
    <row r="24" spans="1:12" s="36" customFormat="1" ht="42.75" customHeight="1">
      <c r="A24" s="45" t="s">
        <v>188</v>
      </c>
      <c r="B24" s="60">
        <v>2140</v>
      </c>
      <c r="C24" s="96">
        <f>C25+C26+C27+C28+C29+C32+C33</f>
        <v>4892.2</v>
      </c>
      <c r="D24" s="96">
        <f t="shared" ref="D24:J24" si="0">D25+D26+D27+D28+D29+D32+D33</f>
        <v>6464</v>
      </c>
      <c r="E24" s="96">
        <f t="shared" si="0"/>
        <v>7660</v>
      </c>
      <c r="F24" s="96">
        <f t="shared" si="0"/>
        <v>7806.4</v>
      </c>
      <c r="G24" s="96">
        <f t="shared" si="0"/>
        <v>1846.3</v>
      </c>
      <c r="H24" s="96">
        <f t="shared" si="0"/>
        <v>1900.1</v>
      </c>
      <c r="I24" s="96">
        <f t="shared" si="0"/>
        <v>2100</v>
      </c>
      <c r="J24" s="96">
        <f t="shared" si="0"/>
        <v>1960</v>
      </c>
    </row>
    <row r="25" spans="1:12" ht="20.100000000000001" customHeight="1">
      <c r="A25" s="33" t="s">
        <v>75</v>
      </c>
      <c r="B25" s="39">
        <v>2141</v>
      </c>
      <c r="C25" s="100"/>
      <c r="D25" s="100"/>
      <c r="E25" s="100"/>
      <c r="F25" s="100"/>
      <c r="G25" s="101"/>
      <c r="H25" s="101"/>
      <c r="I25" s="101"/>
      <c r="J25" s="101"/>
    </row>
    <row r="26" spans="1:12" ht="20.100000000000001" customHeight="1">
      <c r="A26" s="33" t="s">
        <v>92</v>
      </c>
      <c r="B26" s="39">
        <v>2142</v>
      </c>
      <c r="C26" s="100"/>
      <c r="D26" s="100"/>
      <c r="E26" s="125"/>
      <c r="F26" s="125"/>
      <c r="G26" s="126"/>
      <c r="H26" s="126"/>
      <c r="I26" s="126"/>
      <c r="J26" s="126"/>
      <c r="K26" s="127"/>
      <c r="L26" s="127"/>
    </row>
    <row r="27" spans="1:12" ht="20.100000000000001" customHeight="1">
      <c r="A27" s="33" t="s">
        <v>88</v>
      </c>
      <c r="B27" s="39">
        <v>2143</v>
      </c>
      <c r="C27" s="100"/>
      <c r="D27" s="100"/>
      <c r="E27" s="125"/>
      <c r="F27" s="125"/>
      <c r="G27" s="126"/>
      <c r="H27" s="126"/>
      <c r="I27" s="126"/>
      <c r="J27" s="126"/>
      <c r="K27" s="127"/>
      <c r="L27" s="127"/>
    </row>
    <row r="28" spans="1:12" ht="20.100000000000001" customHeight="1">
      <c r="A28" s="33" t="s">
        <v>73</v>
      </c>
      <c r="B28" s="39">
        <v>2144</v>
      </c>
      <c r="C28" s="100">
        <v>4892.2</v>
      </c>
      <c r="D28" s="125">
        <v>6464</v>
      </c>
      <c r="E28" s="125">
        <v>7660</v>
      </c>
      <c r="F28" s="125">
        <f>G28+H28+I28+J28</f>
        <v>7806.4</v>
      </c>
      <c r="G28" s="126">
        <v>1846.3</v>
      </c>
      <c r="H28" s="126">
        <v>1900.1</v>
      </c>
      <c r="I28" s="126">
        <v>2100</v>
      </c>
      <c r="J28" s="126">
        <v>1960</v>
      </c>
      <c r="K28" s="127"/>
      <c r="L28" s="127"/>
    </row>
    <row r="29" spans="1:12" s="34" customFormat="1" ht="20.100000000000001" customHeight="1">
      <c r="A29" s="33" t="s">
        <v>143</v>
      </c>
      <c r="B29" s="39">
        <v>2145</v>
      </c>
      <c r="C29" s="100"/>
      <c r="D29" s="100"/>
      <c r="E29" s="125"/>
      <c r="F29" s="125"/>
      <c r="G29" s="125"/>
      <c r="H29" s="125"/>
      <c r="I29" s="125"/>
      <c r="J29" s="125"/>
      <c r="K29" s="128"/>
      <c r="L29" s="128"/>
    </row>
    <row r="30" spans="1:12" ht="42.75" customHeight="1">
      <c r="A30" s="33" t="s">
        <v>193</v>
      </c>
      <c r="B30" s="39" t="s">
        <v>178</v>
      </c>
      <c r="C30" s="100"/>
      <c r="D30" s="100"/>
      <c r="E30" s="125"/>
      <c r="F30" s="125"/>
      <c r="G30" s="126"/>
      <c r="H30" s="126"/>
      <c r="I30" s="126"/>
      <c r="J30" s="126"/>
      <c r="K30" s="127"/>
      <c r="L30" s="127"/>
    </row>
    <row r="31" spans="1:12" ht="20.100000000000001" customHeight="1">
      <c r="A31" s="33" t="s">
        <v>13</v>
      </c>
      <c r="B31" s="39" t="s">
        <v>179</v>
      </c>
      <c r="C31" s="100"/>
      <c r="D31" s="100"/>
      <c r="E31" s="125"/>
      <c r="F31" s="125"/>
      <c r="G31" s="126"/>
      <c r="H31" s="126"/>
      <c r="I31" s="126"/>
      <c r="J31" s="126"/>
      <c r="K31" s="127"/>
      <c r="L31" s="127"/>
    </row>
    <row r="32" spans="1:12" s="34" customFormat="1" ht="20.100000000000001" customHeight="1">
      <c r="A32" s="33" t="s">
        <v>292</v>
      </c>
      <c r="B32" s="39">
        <v>2146</v>
      </c>
      <c r="C32" s="100"/>
      <c r="D32" s="100"/>
      <c r="E32" s="125"/>
      <c r="F32" s="125"/>
      <c r="G32" s="125"/>
      <c r="H32" s="125"/>
      <c r="I32" s="125"/>
      <c r="J32" s="125"/>
      <c r="K32" s="128"/>
      <c r="L32" s="128"/>
    </row>
    <row r="33" spans="1:12" ht="20.100000000000001" customHeight="1">
      <c r="A33" s="33" t="s">
        <v>293</v>
      </c>
      <c r="B33" s="39">
        <v>2147</v>
      </c>
      <c r="C33" s="100"/>
      <c r="D33" s="100"/>
      <c r="E33" s="125"/>
      <c r="F33" s="125"/>
      <c r="G33" s="125"/>
      <c r="H33" s="125"/>
      <c r="I33" s="125"/>
      <c r="J33" s="125"/>
      <c r="K33" s="127"/>
    </row>
    <row r="34" spans="1:12" s="34" customFormat="1" ht="32.25" customHeight="1">
      <c r="A34" s="33" t="s">
        <v>74</v>
      </c>
      <c r="B34" s="39">
        <v>2150</v>
      </c>
      <c r="C34" s="100">
        <v>5279.6</v>
      </c>
      <c r="D34" s="125">
        <v>7096</v>
      </c>
      <c r="E34" s="125">
        <v>7757.2</v>
      </c>
      <c r="F34" s="125">
        <f>G34+H34+I34+J34</f>
        <v>10893.8</v>
      </c>
      <c r="G34" s="125">
        <v>2275.5</v>
      </c>
      <c r="H34" s="125">
        <v>2073.9</v>
      </c>
      <c r="I34" s="125">
        <f>'1.Фінансовий результат'!I39+'1.Фінансовий результат'!I91</f>
        <v>2858.4</v>
      </c>
      <c r="J34" s="125">
        <f>'1.Фінансовий результат'!J39+'1.Фінансовий результат'!J91</f>
        <v>3686</v>
      </c>
      <c r="K34" s="128"/>
    </row>
    <row r="35" spans="1:12" s="88" customFormat="1" ht="21.75" customHeight="1">
      <c r="A35" s="86" t="s">
        <v>198</v>
      </c>
      <c r="B35" s="87">
        <v>2200</v>
      </c>
      <c r="C35" s="97">
        <f>C20+C21+C22+C24+C34</f>
        <v>10171.799999999999</v>
      </c>
      <c r="D35" s="97">
        <f t="shared" ref="D35:J35" si="1">D20+D21+D22+D24+D34</f>
        <v>13560</v>
      </c>
      <c r="E35" s="97">
        <f t="shared" si="1"/>
        <v>15417.2</v>
      </c>
      <c r="F35" s="97">
        <f t="shared" si="1"/>
        <v>18700.199999999997</v>
      </c>
      <c r="G35" s="97">
        <f t="shared" si="1"/>
        <v>4121.8</v>
      </c>
      <c r="H35" s="97">
        <f t="shared" si="1"/>
        <v>3974</v>
      </c>
      <c r="I35" s="97">
        <f t="shared" si="1"/>
        <v>4958.3999999999996</v>
      </c>
      <c r="J35" s="97">
        <f t="shared" si="1"/>
        <v>5646</v>
      </c>
    </row>
    <row r="36" spans="1:12" s="34" customFormat="1" ht="20.100000000000001" customHeight="1">
      <c r="A36" s="50"/>
      <c r="B36" s="35"/>
      <c r="C36" s="48"/>
      <c r="D36" s="48"/>
      <c r="E36" s="48"/>
      <c r="F36" s="48"/>
      <c r="G36" s="49"/>
      <c r="H36" s="49"/>
      <c r="I36" s="49"/>
      <c r="J36" s="49"/>
    </row>
    <row r="37" spans="1:12" s="34" customFormat="1" ht="20.100000000000001" customHeight="1">
      <c r="A37" s="50"/>
      <c r="B37" s="35"/>
      <c r="C37" s="48"/>
      <c r="D37" s="48"/>
      <c r="E37" s="48"/>
      <c r="F37" s="48"/>
      <c r="G37" s="49"/>
      <c r="H37" s="49"/>
      <c r="I37" s="49"/>
      <c r="J37" s="49"/>
    </row>
    <row r="38" spans="1:12" s="3" customFormat="1" ht="20.100000000000001" customHeight="1">
      <c r="A38" s="44" t="s">
        <v>411</v>
      </c>
      <c r="B38" s="1"/>
      <c r="C38" s="557" t="s">
        <v>190</v>
      </c>
      <c r="D38" s="557"/>
      <c r="E38" s="557"/>
      <c r="F38" s="557"/>
      <c r="G38" s="14"/>
      <c r="H38" s="558" t="s">
        <v>412</v>
      </c>
      <c r="I38" s="558"/>
      <c r="J38" s="558"/>
    </row>
    <row r="39" spans="1:12" s="2" customFormat="1" ht="20.100000000000001" customHeight="1">
      <c r="A39" s="51" t="s">
        <v>352</v>
      </c>
      <c r="B39" s="3"/>
      <c r="C39" s="553" t="s">
        <v>227</v>
      </c>
      <c r="D39" s="553"/>
      <c r="E39" s="553"/>
      <c r="F39" s="553"/>
      <c r="G39" s="23"/>
      <c r="H39" s="554" t="s">
        <v>89</v>
      </c>
      <c r="I39" s="554"/>
      <c r="J39" s="554"/>
    </row>
    <row r="40" spans="1:12" s="35" customFormat="1">
      <c r="A40" s="47"/>
      <c r="F40" s="32"/>
      <c r="G40" s="32"/>
      <c r="H40" s="32"/>
      <c r="I40" s="32"/>
      <c r="J40" s="32"/>
      <c r="K40" s="32"/>
      <c r="L40" s="32"/>
    </row>
    <row r="41" spans="1:12" s="35" customFormat="1">
      <c r="A41" s="47"/>
      <c r="F41" s="32"/>
      <c r="G41" s="32"/>
      <c r="H41" s="32"/>
      <c r="I41" s="32"/>
      <c r="J41" s="32"/>
      <c r="K41" s="32"/>
      <c r="L41" s="32"/>
    </row>
    <row r="42" spans="1:12" s="35" customFormat="1">
      <c r="A42" s="47"/>
      <c r="F42" s="32"/>
      <c r="G42" s="32"/>
      <c r="H42" s="32"/>
      <c r="I42" s="32"/>
      <c r="J42" s="32"/>
      <c r="K42" s="32"/>
      <c r="L42" s="32"/>
    </row>
    <row r="43" spans="1:12" s="35" customFormat="1">
      <c r="A43" s="47"/>
      <c r="F43" s="32"/>
      <c r="G43" s="32"/>
      <c r="H43" s="32"/>
      <c r="I43" s="32"/>
      <c r="J43" s="32"/>
      <c r="K43" s="32"/>
      <c r="L43" s="32"/>
    </row>
    <row r="44" spans="1:12" s="35" customFormat="1">
      <c r="A44" s="47"/>
      <c r="F44" s="32"/>
      <c r="G44" s="32"/>
      <c r="H44" s="32"/>
      <c r="I44" s="32"/>
      <c r="J44" s="32"/>
      <c r="K44" s="32"/>
      <c r="L44" s="32"/>
    </row>
    <row r="45" spans="1:12" s="35" customFormat="1">
      <c r="A45" s="47"/>
      <c r="F45" s="32"/>
      <c r="G45" s="32"/>
      <c r="H45" s="32"/>
      <c r="I45" s="32"/>
      <c r="J45" s="32"/>
      <c r="K45" s="32"/>
      <c r="L45" s="32"/>
    </row>
    <row r="46" spans="1:12" s="35" customFormat="1">
      <c r="A46" s="47"/>
      <c r="F46" s="32"/>
      <c r="G46" s="32"/>
      <c r="H46" s="32"/>
      <c r="I46" s="32"/>
      <c r="J46" s="32"/>
      <c r="K46" s="32"/>
      <c r="L46" s="32"/>
    </row>
    <row r="47" spans="1:12" s="35" customFormat="1">
      <c r="A47" s="47"/>
      <c r="F47" s="32"/>
      <c r="G47" s="32"/>
      <c r="H47" s="32"/>
      <c r="I47" s="32"/>
      <c r="J47" s="32"/>
      <c r="K47" s="32"/>
      <c r="L47" s="32"/>
    </row>
    <row r="48" spans="1:12" s="35" customFormat="1">
      <c r="A48" s="47"/>
      <c r="F48" s="32"/>
      <c r="G48" s="32"/>
      <c r="H48" s="32"/>
      <c r="I48" s="32"/>
      <c r="J48" s="32"/>
      <c r="K48" s="32"/>
      <c r="L48" s="32"/>
    </row>
    <row r="49" spans="1:12" s="35" customFormat="1">
      <c r="A49" s="47"/>
      <c r="F49" s="32"/>
      <c r="G49" s="32"/>
      <c r="H49" s="32"/>
      <c r="I49" s="32"/>
      <c r="J49" s="32"/>
      <c r="K49" s="32"/>
      <c r="L49" s="32"/>
    </row>
    <row r="50" spans="1:12" s="35" customFormat="1">
      <c r="A50" s="47"/>
      <c r="F50" s="32"/>
      <c r="G50" s="32"/>
      <c r="H50" s="32"/>
      <c r="I50" s="32"/>
      <c r="J50" s="32"/>
      <c r="K50" s="32"/>
      <c r="L50" s="32"/>
    </row>
    <row r="51" spans="1:12" s="35" customFormat="1">
      <c r="A51" s="47"/>
      <c r="F51" s="32"/>
      <c r="G51" s="32"/>
      <c r="H51" s="32"/>
      <c r="I51" s="32"/>
      <c r="J51" s="32"/>
      <c r="K51" s="32"/>
      <c r="L51" s="32"/>
    </row>
    <row r="52" spans="1:12" s="35" customFormat="1">
      <c r="A52" s="47"/>
      <c r="F52" s="32"/>
      <c r="G52" s="32"/>
      <c r="H52" s="32"/>
      <c r="I52" s="32"/>
      <c r="J52" s="32"/>
      <c r="K52" s="32"/>
      <c r="L52" s="32"/>
    </row>
    <row r="53" spans="1:12" s="35" customFormat="1">
      <c r="A53" s="47"/>
      <c r="F53" s="32"/>
      <c r="G53" s="32"/>
      <c r="H53" s="32"/>
      <c r="I53" s="32"/>
      <c r="J53" s="32"/>
      <c r="K53" s="32"/>
      <c r="L53" s="32"/>
    </row>
    <row r="54" spans="1:12" s="35" customFormat="1">
      <c r="A54" s="47"/>
      <c r="F54" s="32"/>
      <c r="G54" s="32"/>
      <c r="H54" s="32"/>
      <c r="I54" s="32"/>
      <c r="J54" s="32"/>
      <c r="K54" s="32"/>
      <c r="L54" s="32"/>
    </row>
    <row r="55" spans="1:12" s="35" customFormat="1">
      <c r="A55" s="47"/>
      <c r="F55" s="32"/>
      <c r="G55" s="32"/>
      <c r="H55" s="32"/>
      <c r="I55" s="32"/>
      <c r="J55" s="32"/>
      <c r="K55" s="32"/>
      <c r="L55" s="32"/>
    </row>
    <row r="56" spans="1:12" s="35" customFormat="1">
      <c r="A56" s="47"/>
      <c r="F56" s="32"/>
      <c r="G56" s="32"/>
      <c r="H56" s="32"/>
      <c r="I56" s="32"/>
      <c r="J56" s="32"/>
      <c r="K56" s="32"/>
      <c r="L56" s="32"/>
    </row>
    <row r="57" spans="1:12" s="35" customFormat="1">
      <c r="A57" s="47"/>
      <c r="F57" s="32"/>
      <c r="G57" s="32"/>
      <c r="H57" s="32"/>
      <c r="I57" s="32"/>
      <c r="J57" s="32"/>
      <c r="K57" s="32"/>
      <c r="L57" s="32"/>
    </row>
    <row r="58" spans="1:12" s="35" customFormat="1">
      <c r="A58" s="47"/>
      <c r="F58" s="32"/>
      <c r="G58" s="32"/>
      <c r="H58" s="32"/>
      <c r="I58" s="32"/>
      <c r="J58" s="32"/>
      <c r="K58" s="32"/>
      <c r="L58" s="32"/>
    </row>
    <row r="59" spans="1:12" s="35" customFormat="1">
      <c r="A59" s="47"/>
      <c r="F59" s="32"/>
      <c r="G59" s="32"/>
      <c r="H59" s="32"/>
      <c r="I59" s="32"/>
      <c r="J59" s="32"/>
      <c r="K59" s="32"/>
      <c r="L59" s="32"/>
    </row>
    <row r="60" spans="1:12" s="35" customFormat="1">
      <c r="A60" s="47"/>
      <c r="F60" s="32"/>
      <c r="G60" s="32"/>
      <c r="H60" s="32"/>
      <c r="I60" s="32"/>
      <c r="J60" s="32"/>
      <c r="K60" s="32"/>
      <c r="L60" s="32"/>
    </row>
    <row r="61" spans="1:12" s="35" customFormat="1">
      <c r="A61" s="47"/>
      <c r="F61" s="32"/>
      <c r="G61" s="32"/>
      <c r="H61" s="32"/>
      <c r="I61" s="32"/>
      <c r="J61" s="32"/>
      <c r="K61" s="32"/>
      <c r="L61" s="32"/>
    </row>
    <row r="62" spans="1:12" s="35" customFormat="1">
      <c r="A62" s="47"/>
      <c r="F62" s="32"/>
      <c r="G62" s="32"/>
      <c r="H62" s="32"/>
      <c r="I62" s="32"/>
      <c r="J62" s="32"/>
      <c r="K62" s="32"/>
      <c r="L62" s="32"/>
    </row>
    <row r="63" spans="1:12" s="35" customFormat="1">
      <c r="A63" s="47"/>
      <c r="F63" s="32"/>
      <c r="G63" s="32"/>
      <c r="H63" s="32"/>
      <c r="I63" s="32"/>
      <c r="J63" s="32"/>
      <c r="K63" s="32"/>
      <c r="L63" s="32"/>
    </row>
    <row r="64" spans="1:12" s="35" customFormat="1">
      <c r="A64" s="47"/>
      <c r="F64" s="32"/>
      <c r="G64" s="32"/>
      <c r="H64" s="32"/>
      <c r="I64" s="32"/>
      <c r="J64" s="32"/>
      <c r="K64" s="32"/>
      <c r="L64" s="32"/>
    </row>
    <row r="65" spans="1:12" s="35" customFormat="1">
      <c r="A65" s="47"/>
      <c r="F65" s="32"/>
      <c r="G65" s="32"/>
      <c r="H65" s="32"/>
      <c r="I65" s="32"/>
      <c r="J65" s="32"/>
      <c r="K65" s="32"/>
      <c r="L65" s="32"/>
    </row>
    <row r="66" spans="1:12" s="35" customFormat="1">
      <c r="A66" s="47"/>
      <c r="F66" s="32"/>
      <c r="G66" s="32"/>
      <c r="H66" s="32"/>
      <c r="I66" s="32"/>
      <c r="J66" s="32"/>
      <c r="K66" s="32"/>
      <c r="L66" s="32"/>
    </row>
    <row r="67" spans="1:12" s="35" customFormat="1">
      <c r="A67" s="47"/>
      <c r="F67" s="32"/>
      <c r="G67" s="32"/>
      <c r="H67" s="32"/>
      <c r="I67" s="32"/>
      <c r="J67" s="32"/>
      <c r="K67" s="32"/>
      <c r="L67" s="32"/>
    </row>
    <row r="68" spans="1:12" s="35" customFormat="1">
      <c r="A68" s="47"/>
      <c r="F68" s="32"/>
      <c r="G68" s="32"/>
      <c r="H68" s="32"/>
      <c r="I68" s="32"/>
      <c r="J68" s="32"/>
      <c r="K68" s="32"/>
      <c r="L68" s="32"/>
    </row>
    <row r="69" spans="1:12" s="35" customFormat="1">
      <c r="A69" s="47"/>
      <c r="F69" s="32"/>
      <c r="G69" s="32"/>
      <c r="H69" s="32"/>
      <c r="I69" s="32"/>
      <c r="J69" s="32"/>
      <c r="K69" s="32"/>
      <c r="L69" s="32"/>
    </row>
    <row r="70" spans="1:12" s="35" customFormat="1">
      <c r="A70" s="47"/>
      <c r="F70" s="32"/>
      <c r="G70" s="32"/>
      <c r="H70" s="32"/>
      <c r="I70" s="32"/>
      <c r="J70" s="32"/>
      <c r="K70" s="32"/>
      <c r="L70" s="32"/>
    </row>
    <row r="71" spans="1:12" s="35" customFormat="1">
      <c r="A71" s="47"/>
      <c r="F71" s="32"/>
      <c r="G71" s="32"/>
      <c r="H71" s="32"/>
      <c r="I71" s="32"/>
      <c r="J71" s="32"/>
      <c r="K71" s="32"/>
      <c r="L71" s="32"/>
    </row>
    <row r="72" spans="1:12" s="35" customFormat="1">
      <c r="A72" s="47"/>
      <c r="F72" s="32"/>
      <c r="G72" s="32"/>
      <c r="H72" s="32"/>
      <c r="I72" s="32"/>
      <c r="J72" s="32"/>
      <c r="K72" s="32"/>
      <c r="L72" s="32"/>
    </row>
    <row r="73" spans="1:12" s="35" customFormat="1">
      <c r="A73" s="47"/>
      <c r="F73" s="32"/>
      <c r="G73" s="32"/>
      <c r="H73" s="32"/>
      <c r="I73" s="32"/>
      <c r="J73" s="32"/>
      <c r="K73" s="32"/>
      <c r="L73" s="32"/>
    </row>
    <row r="74" spans="1:12" s="35" customFormat="1">
      <c r="A74" s="47"/>
      <c r="F74" s="32"/>
      <c r="G74" s="32"/>
      <c r="H74" s="32"/>
      <c r="I74" s="32"/>
      <c r="J74" s="32"/>
      <c r="K74" s="32"/>
      <c r="L74" s="32"/>
    </row>
    <row r="75" spans="1:12" s="35" customFormat="1">
      <c r="A75" s="47"/>
      <c r="F75" s="32"/>
      <c r="G75" s="32"/>
      <c r="H75" s="32"/>
      <c r="I75" s="32"/>
      <c r="J75" s="32"/>
      <c r="K75" s="32"/>
      <c r="L75" s="32"/>
    </row>
    <row r="76" spans="1:12" s="35" customFormat="1">
      <c r="A76" s="47"/>
      <c r="F76" s="32"/>
      <c r="G76" s="32"/>
      <c r="H76" s="32"/>
      <c r="I76" s="32"/>
      <c r="J76" s="32"/>
      <c r="K76" s="32"/>
      <c r="L76" s="32"/>
    </row>
    <row r="77" spans="1:12" s="35" customFormat="1">
      <c r="A77" s="47"/>
      <c r="F77" s="32"/>
      <c r="G77" s="32"/>
      <c r="H77" s="32"/>
      <c r="I77" s="32"/>
      <c r="J77" s="32"/>
      <c r="K77" s="32"/>
      <c r="L77" s="32"/>
    </row>
    <row r="78" spans="1:12" s="35" customFormat="1">
      <c r="A78" s="47"/>
      <c r="F78" s="32"/>
      <c r="G78" s="32"/>
      <c r="H78" s="32"/>
      <c r="I78" s="32"/>
      <c r="J78" s="32"/>
      <c r="K78" s="32"/>
      <c r="L78" s="32"/>
    </row>
    <row r="79" spans="1:12" s="35" customFormat="1">
      <c r="A79" s="47"/>
      <c r="F79" s="32"/>
      <c r="G79" s="32"/>
      <c r="H79" s="32"/>
      <c r="I79" s="32"/>
      <c r="J79" s="32"/>
      <c r="K79" s="32"/>
      <c r="L79" s="32"/>
    </row>
    <row r="80" spans="1:12" s="35" customFormat="1">
      <c r="A80" s="47"/>
      <c r="F80" s="32"/>
      <c r="G80" s="32"/>
      <c r="H80" s="32"/>
      <c r="I80" s="32"/>
      <c r="J80" s="32"/>
      <c r="K80" s="32"/>
      <c r="L80" s="32"/>
    </row>
    <row r="81" spans="1:12" s="35" customFormat="1">
      <c r="A81" s="47"/>
      <c r="F81" s="32"/>
      <c r="G81" s="32"/>
      <c r="H81" s="32"/>
      <c r="I81" s="32"/>
      <c r="J81" s="32"/>
      <c r="K81" s="32"/>
      <c r="L81" s="32"/>
    </row>
    <row r="82" spans="1:12" s="35" customFormat="1">
      <c r="A82" s="47"/>
      <c r="F82" s="32"/>
      <c r="G82" s="32"/>
      <c r="H82" s="32"/>
      <c r="I82" s="32"/>
      <c r="J82" s="32"/>
      <c r="K82" s="32"/>
      <c r="L82" s="32"/>
    </row>
    <row r="83" spans="1:12" s="35" customFormat="1">
      <c r="A83" s="47"/>
      <c r="F83" s="32"/>
      <c r="G83" s="32"/>
      <c r="H83" s="32"/>
      <c r="I83" s="32"/>
      <c r="J83" s="32"/>
      <c r="K83" s="32"/>
      <c r="L83" s="32"/>
    </row>
    <row r="84" spans="1:12" s="35" customFormat="1">
      <c r="A84" s="47"/>
      <c r="F84" s="32"/>
      <c r="G84" s="32"/>
      <c r="H84" s="32"/>
      <c r="I84" s="32"/>
      <c r="J84" s="32"/>
      <c r="K84" s="32"/>
      <c r="L84" s="32"/>
    </row>
    <row r="85" spans="1:12" s="35" customFormat="1">
      <c r="A85" s="47"/>
      <c r="F85" s="32"/>
      <c r="G85" s="32"/>
      <c r="H85" s="32"/>
      <c r="I85" s="32"/>
      <c r="J85" s="32"/>
      <c r="K85" s="32"/>
      <c r="L85" s="32"/>
    </row>
    <row r="86" spans="1:12" s="35" customFormat="1">
      <c r="A86" s="47"/>
      <c r="F86" s="32"/>
      <c r="G86" s="32"/>
      <c r="H86" s="32"/>
      <c r="I86" s="32"/>
      <c r="J86" s="32"/>
      <c r="K86" s="32"/>
      <c r="L86" s="32"/>
    </row>
    <row r="87" spans="1:12" s="35" customFormat="1">
      <c r="A87" s="47"/>
      <c r="F87" s="32"/>
      <c r="G87" s="32"/>
      <c r="H87" s="32"/>
      <c r="I87" s="32"/>
      <c r="J87" s="32"/>
      <c r="K87" s="32"/>
      <c r="L87" s="32"/>
    </row>
    <row r="88" spans="1:12" s="35" customFormat="1">
      <c r="A88" s="47"/>
      <c r="F88" s="32"/>
      <c r="G88" s="32"/>
      <c r="H88" s="32"/>
      <c r="I88" s="32"/>
      <c r="J88" s="32"/>
      <c r="K88" s="32"/>
      <c r="L88" s="32"/>
    </row>
    <row r="89" spans="1:12" s="35" customFormat="1">
      <c r="A89" s="47"/>
      <c r="F89" s="32"/>
      <c r="G89" s="32"/>
      <c r="H89" s="32"/>
      <c r="I89" s="32"/>
      <c r="J89" s="32"/>
      <c r="K89" s="32"/>
      <c r="L89" s="32"/>
    </row>
    <row r="90" spans="1:12" s="35" customFormat="1">
      <c r="A90" s="47"/>
      <c r="F90" s="32"/>
      <c r="G90" s="32"/>
      <c r="H90" s="32"/>
      <c r="I90" s="32"/>
      <c r="J90" s="32"/>
      <c r="K90" s="32"/>
      <c r="L90" s="32"/>
    </row>
    <row r="91" spans="1:12" s="35" customFormat="1">
      <c r="A91" s="47"/>
      <c r="F91" s="32"/>
      <c r="G91" s="32"/>
      <c r="H91" s="32"/>
      <c r="I91" s="32"/>
      <c r="J91" s="32"/>
      <c r="K91" s="32"/>
      <c r="L91" s="32"/>
    </row>
    <row r="92" spans="1:12" s="35" customFormat="1">
      <c r="A92" s="47"/>
      <c r="F92" s="32"/>
      <c r="G92" s="32"/>
      <c r="H92" s="32"/>
      <c r="I92" s="32"/>
      <c r="J92" s="32"/>
      <c r="K92" s="32"/>
      <c r="L92" s="32"/>
    </row>
    <row r="93" spans="1:12" s="35" customFormat="1">
      <c r="A93" s="47"/>
      <c r="F93" s="32"/>
      <c r="G93" s="32"/>
      <c r="H93" s="32"/>
      <c r="I93" s="32"/>
      <c r="J93" s="32"/>
      <c r="K93" s="32"/>
      <c r="L93" s="32"/>
    </row>
    <row r="94" spans="1:12" s="35" customFormat="1">
      <c r="A94" s="47"/>
      <c r="F94" s="32"/>
      <c r="G94" s="32"/>
      <c r="H94" s="32"/>
      <c r="I94" s="32"/>
      <c r="J94" s="32"/>
      <c r="K94" s="32"/>
      <c r="L94" s="32"/>
    </row>
    <row r="95" spans="1:12" s="35" customFormat="1">
      <c r="A95" s="47"/>
      <c r="F95" s="32"/>
      <c r="G95" s="32"/>
      <c r="H95" s="32"/>
      <c r="I95" s="32"/>
      <c r="J95" s="32"/>
      <c r="K95" s="32"/>
      <c r="L95" s="32"/>
    </row>
    <row r="96" spans="1:12" s="35" customFormat="1">
      <c r="A96" s="47"/>
      <c r="F96" s="32"/>
      <c r="G96" s="32"/>
      <c r="H96" s="32"/>
      <c r="I96" s="32"/>
      <c r="J96" s="32"/>
      <c r="K96" s="32"/>
      <c r="L96" s="32"/>
    </row>
    <row r="97" spans="1:12" s="35" customFormat="1">
      <c r="A97" s="47"/>
      <c r="F97" s="32"/>
      <c r="G97" s="32"/>
      <c r="H97" s="32"/>
      <c r="I97" s="32"/>
      <c r="J97" s="32"/>
      <c r="K97" s="32"/>
      <c r="L97" s="32"/>
    </row>
    <row r="98" spans="1:12" s="35" customFormat="1">
      <c r="A98" s="47"/>
      <c r="F98" s="32"/>
      <c r="G98" s="32"/>
      <c r="H98" s="32"/>
      <c r="I98" s="32"/>
      <c r="J98" s="32"/>
      <c r="K98" s="32"/>
      <c r="L98" s="32"/>
    </row>
    <row r="99" spans="1:12" s="35" customFormat="1">
      <c r="A99" s="47"/>
      <c r="F99" s="32"/>
      <c r="G99" s="32"/>
      <c r="H99" s="32"/>
      <c r="I99" s="32"/>
      <c r="J99" s="32"/>
      <c r="K99" s="32"/>
      <c r="L99" s="32"/>
    </row>
    <row r="100" spans="1:12" s="35" customFormat="1">
      <c r="A100" s="47"/>
      <c r="F100" s="32"/>
      <c r="G100" s="32"/>
      <c r="H100" s="32"/>
      <c r="I100" s="32"/>
      <c r="J100" s="32"/>
      <c r="K100" s="32"/>
      <c r="L100" s="32"/>
    </row>
    <row r="101" spans="1:12" s="35" customFormat="1">
      <c r="A101" s="47"/>
      <c r="F101" s="32"/>
      <c r="G101" s="32"/>
      <c r="H101" s="32"/>
      <c r="I101" s="32"/>
      <c r="J101" s="32"/>
      <c r="K101" s="32"/>
      <c r="L101" s="32"/>
    </row>
    <row r="102" spans="1:12" s="35" customFormat="1">
      <c r="A102" s="47"/>
      <c r="F102" s="32"/>
      <c r="G102" s="32"/>
      <c r="H102" s="32"/>
      <c r="I102" s="32"/>
      <c r="J102" s="32"/>
      <c r="K102" s="32"/>
      <c r="L102" s="32"/>
    </row>
    <row r="103" spans="1:12" s="35" customFormat="1">
      <c r="A103" s="47"/>
      <c r="F103" s="32"/>
      <c r="G103" s="32"/>
      <c r="H103" s="32"/>
      <c r="I103" s="32"/>
      <c r="J103" s="32"/>
      <c r="K103" s="32"/>
      <c r="L103" s="32"/>
    </row>
    <row r="104" spans="1:12" s="35" customFormat="1">
      <c r="A104" s="47"/>
      <c r="F104" s="32"/>
      <c r="G104" s="32"/>
      <c r="H104" s="32"/>
      <c r="I104" s="32"/>
      <c r="J104" s="32"/>
      <c r="K104" s="32"/>
      <c r="L104" s="32"/>
    </row>
    <row r="105" spans="1:12" s="35" customFormat="1">
      <c r="A105" s="47"/>
      <c r="F105" s="32"/>
      <c r="G105" s="32"/>
      <c r="H105" s="32"/>
      <c r="I105" s="32"/>
      <c r="J105" s="32"/>
      <c r="K105" s="32"/>
      <c r="L105" s="32"/>
    </row>
    <row r="106" spans="1:12" s="35" customFormat="1">
      <c r="A106" s="47"/>
      <c r="F106" s="32"/>
      <c r="G106" s="32"/>
      <c r="H106" s="32"/>
      <c r="I106" s="32"/>
      <c r="J106" s="32"/>
      <c r="K106" s="32"/>
      <c r="L106" s="32"/>
    </row>
    <row r="107" spans="1:12" s="35" customFormat="1">
      <c r="A107" s="47"/>
      <c r="F107" s="32"/>
      <c r="G107" s="32"/>
      <c r="H107" s="32"/>
      <c r="I107" s="32"/>
      <c r="J107" s="32"/>
      <c r="K107" s="32"/>
      <c r="L107" s="32"/>
    </row>
    <row r="108" spans="1:12" s="35" customFormat="1">
      <c r="A108" s="47"/>
      <c r="F108" s="32"/>
      <c r="G108" s="32"/>
      <c r="H108" s="32"/>
      <c r="I108" s="32"/>
      <c r="J108" s="32"/>
      <c r="K108" s="32"/>
      <c r="L108" s="32"/>
    </row>
    <row r="109" spans="1:12" s="35" customFormat="1">
      <c r="A109" s="47"/>
      <c r="F109" s="32"/>
      <c r="G109" s="32"/>
      <c r="H109" s="32"/>
      <c r="I109" s="32"/>
      <c r="J109" s="32"/>
      <c r="K109" s="32"/>
      <c r="L109" s="32"/>
    </row>
    <row r="110" spans="1:12" s="35" customFormat="1">
      <c r="A110" s="47"/>
      <c r="F110" s="32"/>
      <c r="G110" s="32"/>
      <c r="H110" s="32"/>
      <c r="I110" s="32"/>
      <c r="J110" s="32"/>
      <c r="K110" s="32"/>
      <c r="L110" s="32"/>
    </row>
    <row r="111" spans="1:12" s="35" customFormat="1">
      <c r="A111" s="47"/>
      <c r="F111" s="32"/>
      <c r="G111" s="32"/>
      <c r="H111" s="32"/>
      <c r="I111" s="32"/>
      <c r="J111" s="32"/>
      <c r="K111" s="32"/>
      <c r="L111" s="32"/>
    </row>
    <row r="112" spans="1:12" s="35" customFormat="1">
      <c r="A112" s="47"/>
      <c r="F112" s="32"/>
      <c r="G112" s="32"/>
      <c r="H112" s="32"/>
      <c r="I112" s="32"/>
      <c r="J112" s="32"/>
      <c r="K112" s="32"/>
      <c r="L112" s="32"/>
    </row>
    <row r="113" spans="1:12" s="35" customFormat="1">
      <c r="A113" s="47"/>
      <c r="F113" s="32"/>
      <c r="G113" s="32"/>
      <c r="H113" s="32"/>
      <c r="I113" s="32"/>
      <c r="J113" s="32"/>
      <c r="K113" s="32"/>
      <c r="L113" s="32"/>
    </row>
    <row r="114" spans="1:12" s="35" customFormat="1">
      <c r="A114" s="47"/>
      <c r="F114" s="32"/>
      <c r="G114" s="32"/>
      <c r="H114" s="32"/>
      <c r="I114" s="32"/>
      <c r="J114" s="32"/>
      <c r="K114" s="32"/>
      <c r="L114" s="32"/>
    </row>
    <row r="115" spans="1:12" s="35" customFormat="1">
      <c r="A115" s="47"/>
      <c r="F115" s="32"/>
      <c r="G115" s="32"/>
      <c r="H115" s="32"/>
      <c r="I115" s="32"/>
      <c r="J115" s="32"/>
      <c r="K115" s="32"/>
      <c r="L115" s="32"/>
    </row>
    <row r="116" spans="1:12" s="35" customFormat="1">
      <c r="A116" s="47"/>
      <c r="F116" s="32"/>
      <c r="G116" s="32"/>
      <c r="H116" s="32"/>
      <c r="I116" s="32"/>
      <c r="J116" s="32"/>
      <c r="K116" s="32"/>
      <c r="L116" s="32"/>
    </row>
    <row r="117" spans="1:12" s="35" customFormat="1">
      <c r="A117" s="47"/>
      <c r="F117" s="32"/>
      <c r="G117" s="32"/>
      <c r="H117" s="32"/>
      <c r="I117" s="32"/>
      <c r="J117" s="32"/>
      <c r="K117" s="32"/>
      <c r="L117" s="32"/>
    </row>
    <row r="118" spans="1:12" s="35" customFormat="1">
      <c r="A118" s="47"/>
      <c r="F118" s="32"/>
      <c r="G118" s="32"/>
      <c r="H118" s="32"/>
      <c r="I118" s="32"/>
      <c r="J118" s="32"/>
      <c r="K118" s="32"/>
      <c r="L118" s="32"/>
    </row>
    <row r="119" spans="1:12" s="35" customFormat="1">
      <c r="A119" s="47"/>
      <c r="F119" s="32"/>
      <c r="G119" s="32"/>
      <c r="H119" s="32"/>
      <c r="I119" s="32"/>
      <c r="J119" s="32"/>
      <c r="K119" s="32"/>
      <c r="L119" s="32"/>
    </row>
    <row r="120" spans="1:12" s="35" customFormat="1">
      <c r="A120" s="47"/>
      <c r="F120" s="32"/>
      <c r="G120" s="32"/>
      <c r="H120" s="32"/>
      <c r="I120" s="32"/>
      <c r="J120" s="32"/>
      <c r="K120" s="32"/>
      <c r="L120" s="32"/>
    </row>
    <row r="121" spans="1:12" s="35" customFormat="1">
      <c r="A121" s="47"/>
      <c r="F121" s="32"/>
      <c r="G121" s="32"/>
      <c r="H121" s="32"/>
      <c r="I121" s="32"/>
      <c r="J121" s="32"/>
      <c r="K121" s="32"/>
      <c r="L121" s="32"/>
    </row>
    <row r="122" spans="1:12" s="35" customFormat="1">
      <c r="A122" s="47"/>
      <c r="F122" s="32"/>
      <c r="G122" s="32"/>
      <c r="H122" s="32"/>
      <c r="I122" s="32"/>
      <c r="J122" s="32"/>
      <c r="K122" s="32"/>
      <c r="L122" s="32"/>
    </row>
    <row r="123" spans="1:12" s="35" customFormat="1">
      <c r="A123" s="47"/>
      <c r="F123" s="32"/>
      <c r="G123" s="32"/>
      <c r="H123" s="32"/>
      <c r="I123" s="32"/>
      <c r="J123" s="32"/>
      <c r="K123" s="32"/>
      <c r="L123" s="32"/>
    </row>
    <row r="124" spans="1:12" s="35" customFormat="1">
      <c r="A124" s="47"/>
      <c r="F124" s="32"/>
      <c r="G124" s="32"/>
      <c r="H124" s="32"/>
      <c r="I124" s="32"/>
      <c r="J124" s="32"/>
      <c r="K124" s="32"/>
      <c r="L124" s="32"/>
    </row>
    <row r="125" spans="1:12" s="35" customFormat="1">
      <c r="A125" s="47"/>
      <c r="F125" s="32"/>
      <c r="G125" s="32"/>
      <c r="H125" s="32"/>
      <c r="I125" s="32"/>
      <c r="J125" s="32"/>
      <c r="K125" s="32"/>
      <c r="L125" s="32"/>
    </row>
    <row r="126" spans="1:12" s="35" customFormat="1">
      <c r="A126" s="47"/>
      <c r="F126" s="32"/>
      <c r="G126" s="32"/>
      <c r="H126" s="32"/>
      <c r="I126" s="32"/>
      <c r="J126" s="32"/>
      <c r="K126" s="32"/>
      <c r="L126" s="32"/>
    </row>
    <row r="127" spans="1:12" s="35" customFormat="1">
      <c r="A127" s="47"/>
      <c r="F127" s="32"/>
      <c r="G127" s="32"/>
      <c r="H127" s="32"/>
      <c r="I127" s="32"/>
      <c r="J127" s="32"/>
      <c r="K127" s="32"/>
      <c r="L127" s="32"/>
    </row>
    <row r="128" spans="1:12" s="35" customFormat="1">
      <c r="A128" s="47"/>
      <c r="F128" s="32"/>
      <c r="G128" s="32"/>
      <c r="H128" s="32"/>
      <c r="I128" s="32"/>
      <c r="J128" s="32"/>
      <c r="K128" s="32"/>
      <c r="L128" s="32"/>
    </row>
    <row r="129" spans="1:12" s="35" customFormat="1">
      <c r="A129" s="47"/>
      <c r="F129" s="32"/>
      <c r="G129" s="32"/>
      <c r="H129" s="32"/>
      <c r="I129" s="32"/>
      <c r="J129" s="32"/>
      <c r="K129" s="32"/>
      <c r="L129" s="32"/>
    </row>
    <row r="130" spans="1:12" s="35" customFormat="1">
      <c r="A130" s="47"/>
      <c r="F130" s="32"/>
      <c r="G130" s="32"/>
      <c r="H130" s="32"/>
      <c r="I130" s="32"/>
      <c r="J130" s="32"/>
      <c r="K130" s="32"/>
      <c r="L130" s="32"/>
    </row>
    <row r="131" spans="1:12" s="35" customFormat="1">
      <c r="A131" s="47"/>
      <c r="F131" s="32"/>
      <c r="G131" s="32"/>
      <c r="H131" s="32"/>
      <c r="I131" s="32"/>
      <c r="J131" s="32"/>
      <c r="K131" s="32"/>
      <c r="L131" s="32"/>
    </row>
    <row r="132" spans="1:12" s="35" customFormat="1">
      <c r="A132" s="47"/>
      <c r="F132" s="32"/>
      <c r="G132" s="32"/>
      <c r="H132" s="32"/>
      <c r="I132" s="32"/>
      <c r="J132" s="32"/>
      <c r="K132" s="32"/>
      <c r="L132" s="32"/>
    </row>
    <row r="133" spans="1:12" s="35" customFormat="1">
      <c r="A133" s="47"/>
      <c r="F133" s="32"/>
      <c r="G133" s="32"/>
      <c r="H133" s="32"/>
      <c r="I133" s="32"/>
      <c r="J133" s="32"/>
      <c r="K133" s="32"/>
      <c r="L133" s="32"/>
    </row>
    <row r="134" spans="1:12" s="35" customFormat="1">
      <c r="A134" s="47"/>
      <c r="F134" s="32"/>
      <c r="G134" s="32"/>
      <c r="H134" s="32"/>
      <c r="I134" s="32"/>
      <c r="J134" s="32"/>
      <c r="K134" s="32"/>
      <c r="L134" s="32"/>
    </row>
    <row r="135" spans="1:12" s="35" customFormat="1">
      <c r="A135" s="47"/>
      <c r="F135" s="32"/>
      <c r="G135" s="32"/>
      <c r="H135" s="32"/>
      <c r="I135" s="32"/>
      <c r="J135" s="32"/>
      <c r="K135" s="32"/>
      <c r="L135" s="32"/>
    </row>
    <row r="136" spans="1:12" s="35" customFormat="1">
      <c r="A136" s="47"/>
      <c r="F136" s="32"/>
      <c r="G136" s="32"/>
      <c r="H136" s="32"/>
      <c r="I136" s="32"/>
      <c r="J136" s="32"/>
      <c r="K136" s="32"/>
      <c r="L136" s="32"/>
    </row>
    <row r="137" spans="1:12" s="35" customFormat="1">
      <c r="A137" s="47"/>
      <c r="F137" s="32"/>
      <c r="G137" s="32"/>
      <c r="H137" s="32"/>
      <c r="I137" s="32"/>
      <c r="J137" s="32"/>
      <c r="K137" s="32"/>
      <c r="L137" s="32"/>
    </row>
    <row r="138" spans="1:12" s="35" customFormat="1">
      <c r="A138" s="47"/>
      <c r="F138" s="32"/>
      <c r="G138" s="32"/>
      <c r="H138" s="32"/>
      <c r="I138" s="32"/>
      <c r="J138" s="32"/>
      <c r="K138" s="32"/>
      <c r="L138" s="32"/>
    </row>
    <row r="139" spans="1:12" s="35" customFormat="1">
      <c r="A139" s="47"/>
      <c r="F139" s="32"/>
      <c r="G139" s="32"/>
      <c r="H139" s="32"/>
      <c r="I139" s="32"/>
      <c r="J139" s="32"/>
      <c r="K139" s="32"/>
      <c r="L139" s="32"/>
    </row>
    <row r="140" spans="1:12" s="35" customFormat="1">
      <c r="A140" s="47"/>
      <c r="F140" s="32"/>
      <c r="G140" s="32"/>
      <c r="H140" s="32"/>
      <c r="I140" s="32"/>
      <c r="J140" s="32"/>
      <c r="K140" s="32"/>
      <c r="L140" s="32"/>
    </row>
    <row r="141" spans="1:12" s="35" customFormat="1">
      <c r="A141" s="47"/>
      <c r="F141" s="32"/>
      <c r="G141" s="32"/>
      <c r="H141" s="32"/>
      <c r="I141" s="32"/>
      <c r="J141" s="32"/>
      <c r="K141" s="32"/>
      <c r="L141" s="32"/>
    </row>
    <row r="142" spans="1:12" s="35" customFormat="1">
      <c r="A142" s="47"/>
      <c r="F142" s="32"/>
      <c r="G142" s="32"/>
      <c r="H142" s="32"/>
      <c r="I142" s="32"/>
      <c r="J142" s="32"/>
      <c r="K142" s="32"/>
      <c r="L142" s="32"/>
    </row>
    <row r="143" spans="1:12" s="35" customFormat="1">
      <c r="A143" s="47"/>
      <c r="F143" s="32"/>
      <c r="G143" s="32"/>
      <c r="H143" s="32"/>
      <c r="I143" s="32"/>
      <c r="J143" s="32"/>
      <c r="K143" s="32"/>
      <c r="L143" s="32"/>
    </row>
    <row r="144" spans="1:12" s="35" customFormat="1">
      <c r="A144" s="47"/>
      <c r="F144" s="32"/>
      <c r="G144" s="32"/>
      <c r="H144" s="32"/>
      <c r="I144" s="32"/>
      <c r="J144" s="32"/>
      <c r="K144" s="32"/>
      <c r="L144" s="32"/>
    </row>
    <row r="145" spans="1:12" s="35" customFormat="1">
      <c r="A145" s="47"/>
      <c r="F145" s="32"/>
      <c r="G145" s="32"/>
      <c r="H145" s="32"/>
      <c r="I145" s="32"/>
      <c r="J145" s="32"/>
      <c r="K145" s="32"/>
      <c r="L145" s="32"/>
    </row>
    <row r="146" spans="1:12" s="35" customFormat="1">
      <c r="A146" s="47"/>
      <c r="F146" s="32"/>
      <c r="G146" s="32"/>
      <c r="H146" s="32"/>
      <c r="I146" s="32"/>
      <c r="J146" s="32"/>
      <c r="K146" s="32"/>
      <c r="L146" s="32"/>
    </row>
    <row r="147" spans="1:12" s="35" customFormat="1">
      <c r="A147" s="47"/>
      <c r="F147" s="32"/>
      <c r="G147" s="32"/>
      <c r="H147" s="32"/>
      <c r="I147" s="32"/>
      <c r="J147" s="32"/>
      <c r="K147" s="32"/>
      <c r="L147" s="32"/>
    </row>
    <row r="148" spans="1:12" s="35" customFormat="1">
      <c r="A148" s="47"/>
      <c r="F148" s="32"/>
      <c r="G148" s="32"/>
      <c r="H148" s="32"/>
      <c r="I148" s="32"/>
      <c r="J148" s="32"/>
      <c r="K148" s="32"/>
      <c r="L148" s="32"/>
    </row>
    <row r="149" spans="1:12" s="35" customFormat="1">
      <c r="A149" s="47"/>
      <c r="F149" s="32"/>
      <c r="G149" s="32"/>
      <c r="H149" s="32"/>
      <c r="I149" s="32"/>
      <c r="J149" s="32"/>
      <c r="K149" s="32"/>
      <c r="L149" s="32"/>
    </row>
    <row r="150" spans="1:12" s="35" customFormat="1">
      <c r="A150" s="47"/>
      <c r="F150" s="32"/>
      <c r="G150" s="32"/>
      <c r="H150" s="32"/>
      <c r="I150" s="32"/>
      <c r="J150" s="32"/>
      <c r="K150" s="32"/>
      <c r="L150" s="32"/>
    </row>
    <row r="151" spans="1:12" s="35" customFormat="1">
      <c r="A151" s="47"/>
      <c r="F151" s="32"/>
      <c r="G151" s="32"/>
      <c r="H151" s="32"/>
      <c r="I151" s="32"/>
      <c r="J151" s="32"/>
      <c r="K151" s="32"/>
      <c r="L151" s="32"/>
    </row>
    <row r="152" spans="1:12" s="35" customFormat="1">
      <c r="A152" s="47"/>
      <c r="F152" s="32"/>
      <c r="G152" s="32"/>
      <c r="H152" s="32"/>
      <c r="I152" s="32"/>
      <c r="J152" s="32"/>
      <c r="K152" s="32"/>
      <c r="L152" s="32"/>
    </row>
    <row r="153" spans="1:12" s="35" customFormat="1">
      <c r="A153" s="47"/>
      <c r="F153" s="32"/>
      <c r="G153" s="32"/>
      <c r="H153" s="32"/>
      <c r="I153" s="32"/>
      <c r="J153" s="32"/>
      <c r="K153" s="32"/>
      <c r="L153" s="32"/>
    </row>
    <row r="154" spans="1:12" s="35" customFormat="1">
      <c r="A154" s="47"/>
      <c r="F154" s="32"/>
      <c r="G154" s="32"/>
      <c r="H154" s="32"/>
      <c r="I154" s="32"/>
      <c r="J154" s="32"/>
      <c r="K154" s="32"/>
      <c r="L154" s="32"/>
    </row>
    <row r="155" spans="1:12" s="35" customFormat="1">
      <c r="A155" s="47"/>
      <c r="F155" s="32"/>
      <c r="G155" s="32"/>
      <c r="H155" s="32"/>
      <c r="I155" s="32"/>
      <c r="J155" s="32"/>
      <c r="K155" s="32"/>
      <c r="L155" s="32"/>
    </row>
    <row r="156" spans="1:12" s="35" customFormat="1">
      <c r="A156" s="47"/>
      <c r="F156" s="32"/>
      <c r="G156" s="32"/>
      <c r="H156" s="32"/>
      <c r="I156" s="32"/>
      <c r="J156" s="32"/>
      <c r="K156" s="32"/>
      <c r="L156" s="32"/>
    </row>
    <row r="157" spans="1:12" s="35" customFormat="1">
      <c r="A157" s="47"/>
      <c r="F157" s="32"/>
      <c r="G157" s="32"/>
      <c r="H157" s="32"/>
      <c r="I157" s="32"/>
      <c r="J157" s="32"/>
      <c r="K157" s="32"/>
      <c r="L157" s="32"/>
    </row>
    <row r="158" spans="1:12" s="35" customFormat="1">
      <c r="A158" s="47"/>
      <c r="F158" s="32"/>
      <c r="G158" s="32"/>
      <c r="H158" s="32"/>
      <c r="I158" s="32"/>
      <c r="J158" s="32"/>
      <c r="K158" s="32"/>
      <c r="L158" s="32"/>
    </row>
    <row r="159" spans="1:12" s="35" customFormat="1">
      <c r="A159" s="47"/>
      <c r="F159" s="32"/>
      <c r="G159" s="32"/>
      <c r="H159" s="32"/>
      <c r="I159" s="32"/>
      <c r="J159" s="32"/>
      <c r="K159" s="32"/>
      <c r="L159" s="32"/>
    </row>
    <row r="160" spans="1:12" s="35" customFormat="1">
      <c r="A160" s="47"/>
      <c r="F160" s="32"/>
      <c r="G160" s="32"/>
      <c r="H160" s="32"/>
      <c r="I160" s="32"/>
      <c r="J160" s="32"/>
      <c r="K160" s="32"/>
      <c r="L160" s="32"/>
    </row>
    <row r="161" spans="1:12" s="35" customFormat="1">
      <c r="A161" s="47"/>
      <c r="F161" s="32"/>
      <c r="G161" s="32"/>
      <c r="H161" s="32"/>
      <c r="I161" s="32"/>
      <c r="J161" s="32"/>
      <c r="K161" s="32"/>
      <c r="L161" s="32"/>
    </row>
    <row r="162" spans="1:12" s="35" customFormat="1">
      <c r="A162" s="47"/>
      <c r="F162" s="32"/>
      <c r="G162" s="32"/>
      <c r="H162" s="32"/>
      <c r="I162" s="32"/>
      <c r="J162" s="32"/>
      <c r="K162" s="32"/>
      <c r="L162" s="32"/>
    </row>
    <row r="163" spans="1:12" s="35" customFormat="1">
      <c r="A163" s="47"/>
      <c r="F163" s="32"/>
      <c r="G163" s="32"/>
      <c r="H163" s="32"/>
      <c r="I163" s="32"/>
      <c r="J163" s="32"/>
      <c r="K163" s="32"/>
      <c r="L163" s="32"/>
    </row>
    <row r="164" spans="1:12" s="35" customFormat="1">
      <c r="A164" s="47"/>
      <c r="F164" s="32"/>
      <c r="G164" s="32"/>
      <c r="H164" s="32"/>
      <c r="I164" s="32"/>
      <c r="J164" s="32"/>
      <c r="K164" s="32"/>
      <c r="L164" s="32"/>
    </row>
    <row r="165" spans="1:12" s="35" customFormat="1">
      <c r="A165" s="47"/>
      <c r="F165" s="32"/>
      <c r="G165" s="32"/>
      <c r="H165" s="32"/>
      <c r="I165" s="32"/>
      <c r="J165" s="32"/>
      <c r="K165" s="32"/>
      <c r="L165" s="32"/>
    </row>
    <row r="166" spans="1:12" s="35" customFormat="1">
      <c r="A166" s="47"/>
      <c r="F166" s="32"/>
      <c r="G166" s="32"/>
      <c r="H166" s="32"/>
      <c r="I166" s="32"/>
      <c r="J166" s="32"/>
      <c r="K166" s="32"/>
      <c r="L166" s="32"/>
    </row>
    <row r="167" spans="1:12" s="35" customFormat="1">
      <c r="A167" s="47"/>
      <c r="F167" s="32"/>
      <c r="G167" s="32"/>
      <c r="H167" s="32"/>
      <c r="I167" s="32"/>
      <c r="J167" s="32"/>
      <c r="K167" s="32"/>
      <c r="L167" s="32"/>
    </row>
    <row r="168" spans="1:12" s="35" customFormat="1">
      <c r="A168" s="47"/>
      <c r="F168" s="32"/>
      <c r="G168" s="32"/>
      <c r="H168" s="32"/>
      <c r="I168" s="32"/>
      <c r="J168" s="32"/>
      <c r="K168" s="32"/>
      <c r="L168" s="32"/>
    </row>
    <row r="169" spans="1:12" s="35" customFormat="1">
      <c r="A169" s="47"/>
      <c r="F169" s="32"/>
      <c r="G169" s="32"/>
      <c r="H169" s="32"/>
      <c r="I169" s="32"/>
      <c r="J169" s="32"/>
      <c r="K169" s="32"/>
      <c r="L169" s="32"/>
    </row>
    <row r="170" spans="1:12" s="35" customFormat="1">
      <c r="A170" s="47"/>
      <c r="F170" s="32"/>
      <c r="G170" s="32"/>
      <c r="H170" s="32"/>
      <c r="I170" s="32"/>
      <c r="J170" s="32"/>
      <c r="K170" s="32"/>
      <c r="L170" s="32"/>
    </row>
    <row r="171" spans="1:12" s="35" customFormat="1">
      <c r="A171" s="47"/>
      <c r="F171" s="32"/>
      <c r="G171" s="32"/>
      <c r="H171" s="32"/>
      <c r="I171" s="32"/>
      <c r="J171" s="32"/>
      <c r="K171" s="32"/>
      <c r="L171" s="32"/>
    </row>
    <row r="172" spans="1:12" s="35" customFormat="1">
      <c r="A172" s="47"/>
      <c r="F172" s="32"/>
      <c r="G172" s="32"/>
      <c r="H172" s="32"/>
      <c r="I172" s="32"/>
      <c r="J172" s="32"/>
      <c r="K172" s="32"/>
      <c r="L172" s="32"/>
    </row>
    <row r="173" spans="1:12" s="35" customFormat="1">
      <c r="A173" s="47"/>
      <c r="F173" s="32"/>
      <c r="G173" s="32"/>
      <c r="H173" s="32"/>
      <c r="I173" s="32"/>
      <c r="J173" s="32"/>
      <c r="K173" s="32"/>
      <c r="L173" s="32"/>
    </row>
    <row r="174" spans="1:12" s="35" customFormat="1">
      <c r="A174" s="47"/>
      <c r="F174" s="32"/>
      <c r="G174" s="32"/>
      <c r="H174" s="32"/>
      <c r="I174" s="32"/>
      <c r="J174" s="32"/>
      <c r="K174" s="32"/>
      <c r="L174" s="32"/>
    </row>
    <row r="175" spans="1:12" s="35" customFormat="1">
      <c r="A175" s="47"/>
      <c r="F175" s="32"/>
      <c r="G175" s="32"/>
      <c r="H175" s="32"/>
      <c r="I175" s="32"/>
      <c r="J175" s="32"/>
      <c r="K175" s="32"/>
      <c r="L175" s="32"/>
    </row>
    <row r="176" spans="1:12" s="35" customFormat="1">
      <c r="A176" s="47"/>
      <c r="F176" s="32"/>
      <c r="G176" s="32"/>
      <c r="H176" s="32"/>
      <c r="I176" s="32"/>
      <c r="J176" s="32"/>
      <c r="K176" s="32"/>
      <c r="L176" s="32"/>
    </row>
    <row r="177" spans="1:12" s="35" customFormat="1">
      <c r="A177" s="47"/>
      <c r="F177" s="32"/>
      <c r="G177" s="32"/>
      <c r="H177" s="32"/>
      <c r="I177" s="32"/>
      <c r="J177" s="32"/>
      <c r="K177" s="32"/>
      <c r="L177" s="32"/>
    </row>
    <row r="178" spans="1:12" s="35" customFormat="1">
      <c r="A178" s="47"/>
      <c r="F178" s="32"/>
      <c r="G178" s="32"/>
      <c r="H178" s="32"/>
      <c r="I178" s="32"/>
      <c r="J178" s="32"/>
      <c r="K178" s="32"/>
      <c r="L178" s="32"/>
    </row>
    <row r="179" spans="1:12" s="35" customFormat="1">
      <c r="A179" s="47"/>
      <c r="F179" s="32"/>
      <c r="G179" s="32"/>
      <c r="H179" s="32"/>
      <c r="I179" s="32"/>
      <c r="J179" s="32"/>
      <c r="K179" s="32"/>
      <c r="L179" s="32"/>
    </row>
    <row r="180" spans="1:12" s="35" customFormat="1">
      <c r="A180" s="47"/>
      <c r="F180" s="32"/>
      <c r="G180" s="32"/>
      <c r="H180" s="32"/>
      <c r="I180" s="32"/>
      <c r="J180" s="32"/>
      <c r="K180" s="32"/>
      <c r="L180" s="32"/>
    </row>
    <row r="181" spans="1:12" s="35" customFormat="1">
      <c r="A181" s="47"/>
      <c r="F181" s="32"/>
      <c r="G181" s="32"/>
      <c r="H181" s="32"/>
      <c r="I181" s="32"/>
      <c r="J181" s="32"/>
      <c r="K181" s="32"/>
      <c r="L181" s="32"/>
    </row>
    <row r="182" spans="1:12" s="35" customFormat="1">
      <c r="A182" s="47"/>
      <c r="F182" s="32"/>
      <c r="G182" s="32"/>
      <c r="H182" s="32"/>
      <c r="I182" s="32"/>
      <c r="J182" s="32"/>
      <c r="K182" s="32"/>
      <c r="L182" s="32"/>
    </row>
    <row r="183" spans="1:12" s="35" customFormat="1">
      <c r="A183" s="47"/>
      <c r="F183" s="32"/>
      <c r="G183" s="32"/>
      <c r="H183" s="32"/>
      <c r="I183" s="32"/>
      <c r="J183" s="32"/>
      <c r="K183" s="32"/>
      <c r="L183" s="32"/>
    </row>
    <row r="184" spans="1:12" s="35" customFormat="1">
      <c r="A184" s="47"/>
      <c r="F184" s="32"/>
      <c r="G184" s="32"/>
      <c r="H184" s="32"/>
      <c r="I184" s="32"/>
      <c r="J184" s="32"/>
      <c r="K184" s="32"/>
      <c r="L184" s="32"/>
    </row>
    <row r="185" spans="1:12" s="35" customFormat="1">
      <c r="A185" s="47"/>
      <c r="F185" s="32"/>
      <c r="G185" s="32"/>
      <c r="H185" s="32"/>
      <c r="I185" s="32"/>
      <c r="J185" s="32"/>
      <c r="K185" s="32"/>
      <c r="L185" s="32"/>
    </row>
    <row r="186" spans="1:12" s="35" customFormat="1">
      <c r="A186" s="47"/>
      <c r="F186" s="32"/>
      <c r="G186" s="32"/>
      <c r="H186" s="32"/>
      <c r="I186" s="32"/>
      <c r="J186" s="32"/>
      <c r="K186" s="32"/>
      <c r="L186" s="32"/>
    </row>
    <row r="187" spans="1:12" s="35" customFormat="1">
      <c r="A187" s="47"/>
      <c r="F187" s="32"/>
      <c r="G187" s="32"/>
      <c r="H187" s="32"/>
      <c r="I187" s="32"/>
      <c r="J187" s="32"/>
      <c r="K187" s="32"/>
      <c r="L187" s="32"/>
    </row>
    <row r="188" spans="1:12" s="35" customFormat="1">
      <c r="A188" s="47"/>
      <c r="F188" s="32"/>
      <c r="G188" s="32"/>
      <c r="H188" s="32"/>
      <c r="I188" s="32"/>
      <c r="J188" s="32"/>
      <c r="K188" s="32"/>
      <c r="L188" s="32"/>
    </row>
    <row r="189" spans="1:12" s="35" customFormat="1">
      <c r="A189" s="47"/>
      <c r="F189" s="32"/>
      <c r="G189" s="32"/>
      <c r="H189" s="32"/>
      <c r="I189" s="32"/>
      <c r="J189" s="32"/>
      <c r="K189" s="32"/>
      <c r="L189" s="32"/>
    </row>
  </sheetData>
  <mergeCells count="14">
    <mergeCell ref="C39:F39"/>
    <mergeCell ref="H39:J39"/>
    <mergeCell ref="A9:J9"/>
    <mergeCell ref="A19:J19"/>
    <mergeCell ref="C38:F38"/>
    <mergeCell ref="H38:J38"/>
    <mergeCell ref="A4:J4"/>
    <mergeCell ref="A6:A7"/>
    <mergeCell ref="B6:B7"/>
    <mergeCell ref="C6:C7"/>
    <mergeCell ref="F6:F7"/>
    <mergeCell ref="G6:J6"/>
    <mergeCell ref="E6:E7"/>
    <mergeCell ref="D6:D7"/>
  </mergeCells>
  <phoneticPr fontId="3" type="noConversion"/>
  <pageMargins left="0.70866141732283472" right="0.19685039370078741" top="0.19685039370078741" bottom="0.19685039370078741" header="0.19685039370078741" footer="0.11811023622047245"/>
  <pageSetup paperSize="9" scale="43" orientation="portrait" verticalDpi="300" r:id="rId1"/>
  <headerFooter alignWithMargins="0">
    <oddHeader xml:space="preserve">&amp;C&amp;"Times New Roman,обычный"&amp;14 
7&amp;R
&amp;"Times New Roman,обычный"&amp;14Продовження додатка 1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J103"/>
  <sheetViews>
    <sheetView view="pageBreakPreview" zoomScale="60" zoomScaleNormal="75" workbookViewId="0">
      <selection activeCell="A21" sqref="A21:J21"/>
    </sheetView>
  </sheetViews>
  <sheetFormatPr defaultColWidth="9.140625" defaultRowHeight="18.75" outlineLevelRow="1"/>
  <cols>
    <col min="1" max="1" width="83.140625" style="2" customWidth="1"/>
    <col min="2" max="2" width="10.7109375" style="2" customWidth="1"/>
    <col min="3" max="5" width="16.28515625" style="2" customWidth="1"/>
    <col min="6" max="10" width="16" style="2" customWidth="1"/>
    <col min="11" max="16384" width="9.140625" style="2"/>
  </cols>
  <sheetData>
    <row r="3" spans="1:10">
      <c r="A3" s="551" t="s">
        <v>128</v>
      </c>
      <c r="B3" s="551"/>
      <c r="C3" s="551"/>
      <c r="D3" s="551"/>
      <c r="E3" s="551"/>
      <c r="F3" s="551"/>
      <c r="G3" s="551"/>
      <c r="H3" s="551"/>
      <c r="I3" s="551"/>
      <c r="J3" s="551"/>
    </row>
    <row r="4" spans="1:10" outlineLevel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48" customHeight="1">
      <c r="A5" s="574" t="s">
        <v>196</v>
      </c>
      <c r="B5" s="577" t="s">
        <v>0</v>
      </c>
      <c r="C5" s="577" t="s">
        <v>17</v>
      </c>
      <c r="D5" s="563" t="s">
        <v>287</v>
      </c>
      <c r="E5" s="578" t="s">
        <v>283</v>
      </c>
      <c r="F5" s="556" t="s">
        <v>9</v>
      </c>
      <c r="G5" s="556" t="s">
        <v>284</v>
      </c>
      <c r="H5" s="556"/>
      <c r="I5" s="556"/>
      <c r="J5" s="556"/>
    </row>
    <row r="6" spans="1:10" ht="38.25" customHeight="1">
      <c r="A6" s="576"/>
      <c r="B6" s="577"/>
      <c r="C6" s="577"/>
      <c r="D6" s="567"/>
      <c r="E6" s="579"/>
      <c r="F6" s="556"/>
      <c r="G6" s="15" t="s">
        <v>155</v>
      </c>
      <c r="H6" s="15" t="s">
        <v>156</v>
      </c>
      <c r="I6" s="15" t="s">
        <v>157</v>
      </c>
      <c r="J6" s="15" t="s">
        <v>61</v>
      </c>
    </row>
    <row r="7" spans="1:10" ht="18" customHeight="1">
      <c r="A7" s="7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</row>
    <row r="8" spans="1:10" s="46" customFormat="1" ht="30.75" customHeight="1">
      <c r="A8" s="575" t="s">
        <v>132</v>
      </c>
      <c r="B8" s="575"/>
      <c r="C8" s="575"/>
      <c r="D8" s="575"/>
      <c r="E8" s="575"/>
      <c r="F8" s="575"/>
      <c r="G8" s="575"/>
      <c r="H8" s="575"/>
      <c r="I8" s="575"/>
      <c r="J8" s="575"/>
    </row>
    <row r="9" spans="1:10" ht="20.100000000000001" customHeight="1">
      <c r="A9" s="33" t="s">
        <v>145</v>
      </c>
      <c r="B9" s="9">
        <v>1200</v>
      </c>
      <c r="C9" s="112">
        <f>'1.Фінансовий результат'!C144</f>
        <v>-207.61899999999878</v>
      </c>
      <c r="D9" s="112">
        <f>'1.Фінансовий результат'!D144</f>
        <v>1184.7999999999925</v>
      </c>
      <c r="E9" s="112">
        <f>'1.Фінансовий результат'!E144</f>
        <v>-4.0021319591687643E-12</v>
      </c>
      <c r="F9" s="112">
        <f>'1.Фінансовий результат'!F144</f>
        <v>2.3646862246096134E-11</v>
      </c>
      <c r="G9" s="112">
        <f>'1.Фінансовий результат'!G144</f>
        <v>206.89999999999804</v>
      </c>
      <c r="H9" s="112">
        <f>'1.Фінансовий результат'!H144</f>
        <v>1941.1000000000029</v>
      </c>
      <c r="I9" s="112">
        <f>'1.Фінансовий результат'!I144</f>
        <v>-1108.0000000000023</v>
      </c>
      <c r="J9" s="112">
        <f>'1.Фінансовий результат'!J144</f>
        <v>-1056.7999999999972</v>
      </c>
    </row>
    <row r="10" spans="1:10" ht="20.100000000000001" customHeight="1">
      <c r="A10" s="33" t="s">
        <v>146</v>
      </c>
      <c r="B10" s="16"/>
      <c r="C10" s="65"/>
      <c r="D10" s="65"/>
      <c r="E10" s="65"/>
      <c r="F10" s="65"/>
      <c r="G10" s="65"/>
      <c r="H10" s="65"/>
      <c r="I10" s="65"/>
      <c r="J10" s="65"/>
    </row>
    <row r="11" spans="1:10" s="122" customFormat="1" ht="19.7" customHeight="1">
      <c r="A11" s="290" t="s">
        <v>148</v>
      </c>
      <c r="B11" s="277">
        <v>3000</v>
      </c>
      <c r="C11" s="112"/>
      <c r="D11" s="112"/>
      <c r="E11" s="112"/>
      <c r="F11" s="112"/>
      <c r="G11" s="112"/>
      <c r="H11" s="112"/>
      <c r="I11" s="112"/>
      <c r="J11" s="112"/>
    </row>
    <row r="12" spans="1:10" ht="20.100000000000001" customHeight="1">
      <c r="A12" s="33" t="s">
        <v>149</v>
      </c>
      <c r="B12" s="6">
        <v>3010</v>
      </c>
      <c r="C12" s="12"/>
      <c r="D12" s="12"/>
      <c r="E12" s="12"/>
      <c r="F12" s="12"/>
      <c r="G12" s="12"/>
      <c r="H12" s="12"/>
      <c r="I12" s="12"/>
      <c r="J12" s="12"/>
    </row>
    <row r="13" spans="1:10" ht="20.100000000000001" customHeight="1">
      <c r="A13" s="33" t="s">
        <v>150</v>
      </c>
      <c r="B13" s="6">
        <v>3020</v>
      </c>
      <c r="C13" s="12"/>
      <c r="D13" s="12"/>
      <c r="E13" s="12"/>
      <c r="F13" s="12"/>
      <c r="G13" s="12"/>
      <c r="H13" s="12"/>
      <c r="I13" s="12"/>
      <c r="J13" s="12"/>
    </row>
    <row r="14" spans="1:10" ht="42.75" customHeight="1">
      <c r="A14" s="33" t="s">
        <v>151</v>
      </c>
      <c r="B14" s="6">
        <v>3030</v>
      </c>
      <c r="C14" s="12"/>
      <c r="D14" s="12"/>
      <c r="E14" s="12"/>
      <c r="F14" s="12"/>
      <c r="G14" s="12"/>
      <c r="H14" s="12"/>
      <c r="I14" s="12"/>
      <c r="J14" s="12"/>
    </row>
    <row r="15" spans="1:10" ht="42.75" customHeight="1">
      <c r="A15" s="45" t="s">
        <v>187</v>
      </c>
      <c r="B15" s="6">
        <v>3040</v>
      </c>
      <c r="C15" s="12"/>
      <c r="D15" s="12"/>
      <c r="E15" s="12"/>
      <c r="F15" s="12"/>
      <c r="G15" s="12"/>
      <c r="H15" s="12"/>
      <c r="I15" s="12"/>
      <c r="J15" s="12"/>
    </row>
    <row r="16" spans="1:10" ht="20.100000000000001" customHeight="1">
      <c r="A16" s="33" t="s">
        <v>152</v>
      </c>
      <c r="B16" s="6">
        <v>3050</v>
      </c>
      <c r="C16" s="12"/>
      <c r="D16" s="12"/>
      <c r="E16" s="12"/>
      <c r="F16" s="12"/>
      <c r="G16" s="12"/>
      <c r="H16" s="12"/>
      <c r="I16" s="12"/>
      <c r="J16" s="12"/>
    </row>
    <row r="17" spans="1:10" ht="20.100000000000001" customHeight="1">
      <c r="A17" s="33" t="s">
        <v>153</v>
      </c>
      <c r="B17" s="6">
        <v>3060</v>
      </c>
      <c r="C17" s="12"/>
      <c r="D17" s="12"/>
      <c r="E17" s="12"/>
      <c r="F17" s="12"/>
      <c r="G17" s="12"/>
      <c r="H17" s="12"/>
      <c r="I17" s="12"/>
      <c r="J17" s="12"/>
    </row>
    <row r="18" spans="1:10" ht="20.100000000000001" customHeight="1">
      <c r="A18" s="45" t="s">
        <v>290</v>
      </c>
      <c r="B18" s="6">
        <v>3070</v>
      </c>
      <c r="C18" s="12"/>
      <c r="D18" s="12"/>
      <c r="E18" s="12"/>
      <c r="F18" s="12"/>
      <c r="G18" s="12"/>
      <c r="H18" s="12"/>
      <c r="I18" s="12"/>
      <c r="J18" s="12"/>
    </row>
    <row r="19" spans="1:10" ht="20.100000000000001" customHeight="1">
      <c r="A19" s="33" t="s">
        <v>147</v>
      </c>
      <c r="B19" s="6">
        <v>3080</v>
      </c>
      <c r="C19" s="12"/>
      <c r="D19" s="12"/>
      <c r="E19" s="12"/>
      <c r="F19" s="12"/>
      <c r="G19" s="12"/>
      <c r="H19" s="12"/>
      <c r="I19" s="12"/>
      <c r="J19" s="12"/>
    </row>
    <row r="20" spans="1:10" ht="20.100000000000001" customHeight="1">
      <c r="A20" s="10" t="s">
        <v>131</v>
      </c>
      <c r="B20" s="6">
        <v>3090</v>
      </c>
      <c r="C20" s="12"/>
      <c r="D20" s="12"/>
      <c r="E20" s="12"/>
      <c r="F20" s="12"/>
      <c r="G20" s="12"/>
      <c r="H20" s="12"/>
      <c r="I20" s="12"/>
      <c r="J20" s="12"/>
    </row>
    <row r="21" spans="1:10" ht="25.7" customHeight="1">
      <c r="A21" s="575" t="s">
        <v>133</v>
      </c>
      <c r="B21" s="575"/>
      <c r="C21" s="575"/>
      <c r="D21" s="575"/>
      <c r="E21" s="575"/>
      <c r="F21" s="575"/>
      <c r="G21" s="575"/>
      <c r="H21" s="575"/>
      <c r="I21" s="575"/>
      <c r="J21" s="575"/>
    </row>
    <row r="22" spans="1:10" ht="20.100000000000001" customHeight="1">
      <c r="A22" s="45" t="s">
        <v>200</v>
      </c>
      <c r="B22" s="9"/>
      <c r="C22" s="12"/>
      <c r="D22" s="12"/>
      <c r="E22" s="12"/>
      <c r="F22" s="12"/>
      <c r="G22" s="12"/>
      <c r="H22" s="12"/>
      <c r="I22" s="12"/>
      <c r="J22" s="12"/>
    </row>
    <row r="23" spans="1:10" ht="20.100000000000001" customHeight="1">
      <c r="A23" s="8" t="s">
        <v>18</v>
      </c>
      <c r="B23" s="9">
        <v>3200</v>
      </c>
      <c r="C23" s="93"/>
      <c r="D23" s="93"/>
      <c r="E23" s="93"/>
      <c r="F23" s="93"/>
      <c r="G23" s="93"/>
      <c r="H23" s="93"/>
      <c r="I23" s="93"/>
      <c r="J23" s="93"/>
    </row>
    <row r="24" spans="1:10" ht="20.100000000000001" customHeight="1">
      <c r="A24" s="8" t="s">
        <v>19</v>
      </c>
      <c r="B24" s="9">
        <v>3210</v>
      </c>
      <c r="C24" s="93"/>
      <c r="D24" s="93"/>
      <c r="E24" s="93"/>
      <c r="F24" s="93"/>
      <c r="G24" s="93"/>
      <c r="H24" s="93"/>
      <c r="I24" s="93"/>
      <c r="J24" s="93"/>
    </row>
    <row r="25" spans="1:10" ht="20.100000000000001" customHeight="1">
      <c r="A25" s="8" t="s">
        <v>41</v>
      </c>
      <c r="B25" s="9">
        <v>3220</v>
      </c>
      <c r="C25" s="93"/>
      <c r="D25" s="93"/>
      <c r="E25" s="93"/>
      <c r="F25" s="93"/>
      <c r="G25" s="93"/>
      <c r="H25" s="93"/>
      <c r="I25" s="93"/>
      <c r="J25" s="93"/>
    </row>
    <row r="26" spans="1:10" ht="20.100000000000001" customHeight="1">
      <c r="A26" s="33" t="s">
        <v>137</v>
      </c>
      <c r="B26" s="9"/>
      <c r="C26" s="12"/>
      <c r="D26" s="12"/>
      <c r="E26" s="12"/>
      <c r="F26" s="12"/>
      <c r="G26" s="12"/>
      <c r="H26" s="12"/>
      <c r="I26" s="12"/>
      <c r="J26" s="12"/>
    </row>
    <row r="27" spans="1:10" ht="20.100000000000001" customHeight="1">
      <c r="A27" s="8" t="s">
        <v>138</v>
      </c>
      <c r="B27" s="9">
        <v>3230</v>
      </c>
      <c r="C27" s="93"/>
      <c r="D27" s="93"/>
      <c r="E27" s="93"/>
      <c r="F27" s="93"/>
      <c r="G27" s="93"/>
      <c r="H27" s="93"/>
      <c r="I27" s="93"/>
      <c r="J27" s="93"/>
    </row>
    <row r="28" spans="1:10" ht="20.100000000000001" customHeight="1">
      <c r="A28" s="8" t="s">
        <v>139</v>
      </c>
      <c r="B28" s="9">
        <v>3240</v>
      </c>
      <c r="C28" s="93"/>
      <c r="D28" s="93"/>
      <c r="E28" s="93"/>
      <c r="F28" s="93"/>
      <c r="G28" s="93"/>
      <c r="H28" s="93"/>
      <c r="I28" s="93"/>
      <c r="J28" s="93"/>
    </row>
    <row r="29" spans="1:10" ht="20.100000000000001" customHeight="1">
      <c r="A29" s="33" t="s">
        <v>140</v>
      </c>
      <c r="B29" s="9">
        <v>3250</v>
      </c>
      <c r="C29" s="93"/>
      <c r="D29" s="93"/>
      <c r="E29" s="93"/>
      <c r="F29" s="93"/>
      <c r="G29" s="93"/>
      <c r="H29" s="93"/>
      <c r="I29" s="93"/>
      <c r="J29" s="93"/>
    </row>
    <row r="30" spans="1:10" ht="20.100000000000001" customHeight="1">
      <c r="A30" s="8" t="s">
        <v>103</v>
      </c>
      <c r="B30" s="9">
        <v>3260</v>
      </c>
      <c r="C30" s="93">
        <f>'4. Кап. інвестиції'!C9</f>
        <v>2125.5500000000002</v>
      </c>
      <c r="D30" s="93">
        <f>'4. Кап. інвестиції'!D9</f>
        <v>0</v>
      </c>
      <c r="E30" s="93">
        <f>'4. Кап. інвестиції'!E9</f>
        <v>518.4</v>
      </c>
      <c r="F30" s="93">
        <f>'4. Кап. інвестиції'!F9</f>
        <v>3000</v>
      </c>
      <c r="G30" s="93">
        <f>'4. Кап. інвестиції'!G9</f>
        <v>0</v>
      </c>
      <c r="H30" s="93">
        <f>'4. Кап. інвестиції'!H9</f>
        <v>0</v>
      </c>
      <c r="I30" s="93">
        <f>'4. Кап. інвестиції'!I9</f>
        <v>3000</v>
      </c>
      <c r="J30" s="93">
        <f>'4. Кап. інвестиції'!J9</f>
        <v>0</v>
      </c>
    </row>
    <row r="31" spans="1:10" ht="20.100000000000001" customHeight="1">
      <c r="A31" s="45" t="s">
        <v>202</v>
      </c>
      <c r="B31" s="9"/>
      <c r="C31" s="12"/>
      <c r="D31" s="12"/>
      <c r="E31" s="12"/>
      <c r="F31" s="12"/>
      <c r="G31" s="12"/>
      <c r="H31" s="12"/>
      <c r="I31" s="12"/>
      <c r="J31" s="12"/>
    </row>
    <row r="32" spans="1:10" ht="20.100000000000001" customHeight="1">
      <c r="A32" s="8" t="s">
        <v>104</v>
      </c>
      <c r="B32" s="9">
        <v>3270</v>
      </c>
      <c r="C32" s="93">
        <f>'4. Кап. інвестиції'!C9</f>
        <v>2125.5500000000002</v>
      </c>
      <c r="D32" s="93">
        <f>'4. Кап. інвестиції'!D9</f>
        <v>0</v>
      </c>
      <c r="E32" s="93">
        <f>'4. Кап. інвестиції'!E9</f>
        <v>518.4</v>
      </c>
      <c r="F32" s="93">
        <f>'4. Кап. інвестиції'!F9</f>
        <v>3000</v>
      </c>
      <c r="G32" s="93">
        <f>'4. Кап. інвестиції'!G9</f>
        <v>0</v>
      </c>
      <c r="H32" s="93">
        <f>'4. Кап. інвестиції'!H9</f>
        <v>0</v>
      </c>
      <c r="I32" s="93">
        <f>'4. Кап. інвестиції'!I9</f>
        <v>3000</v>
      </c>
      <c r="J32" s="93">
        <f>'4. Кап. інвестиції'!J9</f>
        <v>0</v>
      </c>
    </row>
    <row r="33" spans="1:10" ht="20.100000000000001" customHeight="1">
      <c r="A33" s="8" t="s">
        <v>105</v>
      </c>
      <c r="B33" s="9">
        <v>3280</v>
      </c>
      <c r="C33" s="93"/>
      <c r="D33" s="93"/>
      <c r="E33" s="93"/>
      <c r="F33" s="93"/>
      <c r="G33" s="93"/>
      <c r="H33" s="93"/>
      <c r="I33" s="93"/>
      <c r="J33" s="93"/>
    </row>
    <row r="34" spans="1:10" ht="20.100000000000001" customHeight="1">
      <c r="A34" s="8" t="s">
        <v>106</v>
      </c>
      <c r="B34" s="9">
        <v>3290</v>
      </c>
      <c r="C34" s="93"/>
      <c r="D34" s="93"/>
      <c r="E34" s="93"/>
      <c r="F34" s="93"/>
      <c r="G34" s="93"/>
      <c r="H34" s="93"/>
      <c r="I34" s="93"/>
      <c r="J34" s="93"/>
    </row>
    <row r="35" spans="1:10" ht="20.100000000000001" customHeight="1">
      <c r="A35" s="8" t="s">
        <v>42</v>
      </c>
      <c r="B35" s="9">
        <v>3300</v>
      </c>
      <c r="C35" s="99"/>
      <c r="D35" s="99"/>
      <c r="E35" s="99"/>
      <c r="F35" s="93"/>
      <c r="G35" s="93"/>
      <c r="H35" s="93"/>
      <c r="I35" s="93"/>
      <c r="J35" s="93"/>
    </row>
    <row r="36" spans="1:10" ht="20.100000000000001" customHeight="1">
      <c r="A36" s="8" t="s">
        <v>99</v>
      </c>
      <c r="B36" s="9">
        <v>3310</v>
      </c>
      <c r="C36" s="93"/>
      <c r="D36" s="93"/>
      <c r="E36" s="93"/>
      <c r="F36" s="93"/>
      <c r="G36" s="93"/>
      <c r="H36" s="93"/>
      <c r="I36" s="93"/>
      <c r="J36" s="93"/>
    </row>
    <row r="37" spans="1:10" ht="20.100000000000001" customHeight="1">
      <c r="A37" s="45" t="s">
        <v>134</v>
      </c>
      <c r="B37" s="9">
        <v>3320</v>
      </c>
      <c r="C37" s="93">
        <f>SUM(C23:C30)-SUM(C32:C36)</f>
        <v>0</v>
      </c>
      <c r="D37" s="93">
        <f t="shared" ref="D37:J37" si="0">SUM(D23:D30)-SUM(D32:D36)</f>
        <v>0</v>
      </c>
      <c r="E37" s="93">
        <f t="shared" si="0"/>
        <v>0</v>
      </c>
      <c r="F37" s="93">
        <f t="shared" si="0"/>
        <v>0</v>
      </c>
      <c r="G37" s="93">
        <f t="shared" si="0"/>
        <v>0</v>
      </c>
      <c r="H37" s="93">
        <f t="shared" si="0"/>
        <v>0</v>
      </c>
      <c r="I37" s="93">
        <f t="shared" si="0"/>
        <v>0</v>
      </c>
      <c r="J37" s="93">
        <f t="shared" si="0"/>
        <v>0</v>
      </c>
    </row>
    <row r="38" spans="1:10" ht="27" customHeight="1">
      <c r="A38" s="575" t="s">
        <v>135</v>
      </c>
      <c r="B38" s="575"/>
      <c r="C38" s="575"/>
      <c r="D38" s="575"/>
      <c r="E38" s="575"/>
      <c r="F38" s="575"/>
      <c r="G38" s="575"/>
      <c r="H38" s="575"/>
      <c r="I38" s="575"/>
      <c r="J38" s="575"/>
    </row>
    <row r="39" spans="1:10" ht="20.100000000000001" customHeight="1">
      <c r="A39" s="45" t="s">
        <v>201</v>
      </c>
      <c r="B39" s="9"/>
      <c r="C39" s="65"/>
      <c r="D39" s="65"/>
      <c r="E39" s="65"/>
      <c r="F39" s="65"/>
      <c r="G39" s="65"/>
      <c r="H39" s="65"/>
      <c r="I39" s="65"/>
      <c r="J39" s="65"/>
    </row>
    <row r="40" spans="1:10" ht="20.100000000000001" customHeight="1">
      <c r="A40" s="33" t="s">
        <v>141</v>
      </c>
      <c r="B40" s="9">
        <v>3400</v>
      </c>
      <c r="C40" s="12"/>
      <c r="D40" s="12"/>
      <c r="E40" s="12"/>
      <c r="F40" s="12"/>
      <c r="G40" s="12"/>
      <c r="H40" s="12"/>
      <c r="I40" s="12"/>
      <c r="J40" s="12"/>
    </row>
    <row r="41" spans="1:10" ht="20.100000000000001" customHeight="1">
      <c r="A41" s="8" t="s">
        <v>81</v>
      </c>
      <c r="B41" s="4"/>
      <c r="C41" s="65"/>
      <c r="D41" s="65"/>
      <c r="E41" s="65"/>
      <c r="F41" s="65"/>
      <c r="G41" s="65"/>
      <c r="H41" s="65"/>
      <c r="I41" s="65"/>
      <c r="J41" s="65"/>
    </row>
    <row r="42" spans="1:10" ht="20.100000000000001" customHeight="1">
      <c r="A42" s="8" t="s">
        <v>80</v>
      </c>
      <c r="B42" s="9">
        <v>3410</v>
      </c>
      <c r="C42" s="12"/>
      <c r="D42" s="12"/>
      <c r="E42" s="12"/>
      <c r="F42" s="12"/>
      <c r="G42" s="12"/>
      <c r="H42" s="12"/>
      <c r="I42" s="12"/>
      <c r="J42" s="12"/>
    </row>
    <row r="43" spans="1:10" ht="20.100000000000001" customHeight="1">
      <c r="A43" s="8" t="s">
        <v>85</v>
      </c>
      <c r="B43" s="6">
        <v>3420</v>
      </c>
      <c r="C43" s="12"/>
      <c r="D43" s="12"/>
      <c r="E43" s="12"/>
      <c r="F43" s="12"/>
      <c r="G43" s="12"/>
      <c r="H43" s="12"/>
      <c r="I43" s="12"/>
      <c r="J43" s="12"/>
    </row>
    <row r="44" spans="1:10" ht="20.100000000000001" customHeight="1">
      <c r="A44" s="8" t="s">
        <v>107</v>
      </c>
      <c r="B44" s="9">
        <v>3430</v>
      </c>
      <c r="C44" s="12"/>
      <c r="D44" s="12"/>
      <c r="E44" s="12"/>
      <c r="F44" s="12"/>
      <c r="G44" s="12"/>
      <c r="H44" s="12"/>
      <c r="I44" s="12"/>
      <c r="J44" s="12"/>
    </row>
    <row r="45" spans="1:10" ht="20.100000000000001" customHeight="1">
      <c r="A45" s="8" t="s">
        <v>83</v>
      </c>
      <c r="B45" s="9"/>
      <c r="C45" s="65"/>
      <c r="D45" s="65"/>
      <c r="E45" s="65"/>
      <c r="F45" s="65"/>
      <c r="G45" s="65"/>
      <c r="H45" s="65"/>
      <c r="I45" s="65"/>
      <c r="J45" s="65"/>
    </row>
    <row r="46" spans="1:10" ht="20.100000000000001" customHeight="1">
      <c r="A46" s="8" t="s">
        <v>80</v>
      </c>
      <c r="B46" s="6">
        <v>3440</v>
      </c>
      <c r="C46" s="12"/>
      <c r="D46" s="12"/>
      <c r="E46" s="12"/>
      <c r="F46" s="12"/>
      <c r="G46" s="12"/>
      <c r="H46" s="12"/>
      <c r="I46" s="12"/>
      <c r="J46" s="12"/>
    </row>
    <row r="47" spans="1:10" ht="20.100000000000001" customHeight="1">
      <c r="A47" s="8" t="s">
        <v>85</v>
      </c>
      <c r="B47" s="6">
        <v>3450</v>
      </c>
      <c r="C47" s="12"/>
      <c r="D47" s="12"/>
      <c r="E47" s="12"/>
      <c r="F47" s="12"/>
      <c r="G47" s="12"/>
      <c r="H47" s="12"/>
      <c r="I47" s="12"/>
      <c r="J47" s="12"/>
    </row>
    <row r="48" spans="1:10" ht="20.100000000000001" customHeight="1">
      <c r="A48" s="8" t="s">
        <v>107</v>
      </c>
      <c r="B48" s="6">
        <v>3460</v>
      </c>
      <c r="C48" s="12"/>
      <c r="D48" s="12"/>
      <c r="E48" s="12"/>
      <c r="F48" s="12"/>
      <c r="G48" s="12"/>
      <c r="H48" s="12"/>
      <c r="I48" s="12"/>
      <c r="J48" s="12"/>
    </row>
    <row r="49" spans="1:10" ht="20.100000000000001" customHeight="1">
      <c r="A49" s="8" t="s">
        <v>102</v>
      </c>
      <c r="B49" s="6">
        <v>3470</v>
      </c>
      <c r="C49" s="12"/>
      <c r="D49" s="12"/>
      <c r="E49" s="12"/>
      <c r="F49" s="12"/>
      <c r="G49" s="12"/>
      <c r="H49" s="12"/>
      <c r="I49" s="12"/>
      <c r="J49" s="12"/>
    </row>
    <row r="50" spans="1:10" ht="20.100000000000001" customHeight="1">
      <c r="A50" s="8" t="s">
        <v>103</v>
      </c>
      <c r="B50" s="6">
        <v>3480</v>
      </c>
      <c r="C50" s="12"/>
      <c r="D50" s="12"/>
      <c r="E50" s="12"/>
      <c r="F50" s="12"/>
      <c r="G50" s="12"/>
      <c r="H50" s="12"/>
      <c r="I50" s="12"/>
      <c r="J50" s="12"/>
    </row>
    <row r="51" spans="1:10" ht="20.100000000000001" customHeight="1">
      <c r="A51" s="45" t="s">
        <v>202</v>
      </c>
      <c r="B51" s="9"/>
      <c r="C51" s="65"/>
      <c r="D51" s="65"/>
      <c r="E51" s="65"/>
      <c r="F51" s="65"/>
      <c r="G51" s="65"/>
      <c r="H51" s="65"/>
      <c r="I51" s="65"/>
      <c r="J51" s="65"/>
    </row>
    <row r="52" spans="1:10" ht="39.75" customHeight="1">
      <c r="A52" s="8" t="s">
        <v>211</v>
      </c>
      <c r="B52" s="9">
        <v>3490</v>
      </c>
      <c r="C52" s="12"/>
      <c r="D52" s="12"/>
      <c r="E52" s="12"/>
      <c r="F52" s="12"/>
      <c r="G52" s="12"/>
      <c r="H52" s="12"/>
      <c r="I52" s="12"/>
      <c r="J52" s="12"/>
    </row>
    <row r="53" spans="1:10" ht="20.100000000000001" customHeight="1">
      <c r="A53" s="8" t="s">
        <v>212</v>
      </c>
      <c r="B53" s="9">
        <v>3500</v>
      </c>
      <c r="C53" s="12"/>
      <c r="D53" s="12"/>
      <c r="E53" s="12"/>
      <c r="F53" s="12"/>
      <c r="G53" s="12"/>
      <c r="H53" s="12"/>
      <c r="I53" s="12"/>
      <c r="J53" s="12"/>
    </row>
    <row r="54" spans="1:10" ht="20.100000000000001" customHeight="1">
      <c r="A54" s="8" t="s">
        <v>84</v>
      </c>
      <c r="B54" s="9"/>
      <c r="C54" s="65"/>
      <c r="D54" s="65"/>
      <c r="E54" s="65"/>
      <c r="F54" s="65"/>
      <c r="G54" s="65"/>
      <c r="H54" s="65"/>
      <c r="I54" s="65"/>
      <c r="J54" s="65"/>
    </row>
    <row r="55" spans="1:10" ht="20.100000000000001" customHeight="1">
      <c r="A55" s="8" t="s">
        <v>80</v>
      </c>
      <c r="B55" s="6">
        <v>3510</v>
      </c>
      <c r="C55" s="12"/>
      <c r="D55" s="12"/>
      <c r="E55" s="12"/>
      <c r="F55" s="12"/>
      <c r="G55" s="12"/>
      <c r="H55" s="12"/>
      <c r="I55" s="12"/>
      <c r="J55" s="12"/>
    </row>
    <row r="56" spans="1:10" ht="20.100000000000001" customHeight="1">
      <c r="A56" s="8" t="s">
        <v>85</v>
      </c>
      <c r="B56" s="6">
        <v>3520</v>
      </c>
      <c r="C56" s="12"/>
      <c r="D56" s="12"/>
      <c r="E56" s="12"/>
      <c r="F56" s="12"/>
      <c r="G56" s="12"/>
      <c r="H56" s="12"/>
      <c r="I56" s="12"/>
      <c r="J56" s="12"/>
    </row>
    <row r="57" spans="1:10" ht="20.100000000000001" customHeight="1">
      <c r="A57" s="8" t="s">
        <v>107</v>
      </c>
      <c r="B57" s="6">
        <v>3530</v>
      </c>
      <c r="C57" s="12"/>
      <c r="D57" s="12"/>
      <c r="E57" s="12"/>
      <c r="F57" s="12"/>
      <c r="G57" s="12"/>
      <c r="H57" s="12"/>
      <c r="I57" s="12"/>
      <c r="J57" s="12"/>
    </row>
    <row r="58" spans="1:10" ht="20.100000000000001" customHeight="1">
      <c r="A58" s="8" t="s">
        <v>82</v>
      </c>
      <c r="B58" s="9"/>
      <c r="C58" s="65"/>
      <c r="D58" s="65"/>
      <c r="E58" s="65"/>
      <c r="F58" s="65"/>
      <c r="G58" s="65"/>
      <c r="H58" s="65"/>
      <c r="I58" s="65"/>
      <c r="J58" s="65"/>
    </row>
    <row r="59" spans="1:10" ht="20.100000000000001" customHeight="1">
      <c r="A59" s="8" t="s">
        <v>80</v>
      </c>
      <c r="B59" s="6">
        <v>3540</v>
      </c>
      <c r="C59" s="12"/>
      <c r="D59" s="12"/>
      <c r="E59" s="12"/>
      <c r="F59" s="12"/>
      <c r="G59" s="12"/>
      <c r="H59" s="12"/>
      <c r="I59" s="12"/>
      <c r="J59" s="12"/>
    </row>
    <row r="60" spans="1:10" ht="20.100000000000001" customHeight="1">
      <c r="A60" s="8" t="s">
        <v>85</v>
      </c>
      <c r="B60" s="6">
        <v>3550</v>
      </c>
      <c r="C60" s="12"/>
      <c r="D60" s="12"/>
      <c r="E60" s="12"/>
      <c r="F60" s="12"/>
      <c r="G60" s="12"/>
      <c r="H60" s="12"/>
      <c r="I60" s="12"/>
      <c r="J60" s="12"/>
    </row>
    <row r="61" spans="1:10" ht="20.100000000000001" customHeight="1">
      <c r="A61" s="8" t="s">
        <v>107</v>
      </c>
      <c r="B61" s="6">
        <v>3560</v>
      </c>
      <c r="C61" s="12"/>
      <c r="D61" s="12"/>
      <c r="E61" s="12"/>
      <c r="F61" s="12"/>
      <c r="G61" s="12"/>
      <c r="H61" s="12"/>
      <c r="I61" s="12"/>
      <c r="J61" s="12"/>
    </row>
    <row r="62" spans="1:10" ht="20.100000000000001" customHeight="1">
      <c r="A62" s="8" t="s">
        <v>99</v>
      </c>
      <c r="B62" s="6">
        <v>3570</v>
      </c>
      <c r="C62" s="12"/>
      <c r="D62" s="12"/>
      <c r="E62" s="12"/>
      <c r="F62" s="12"/>
      <c r="G62" s="12"/>
      <c r="H62" s="12"/>
      <c r="I62" s="12"/>
      <c r="J62" s="12"/>
    </row>
    <row r="63" spans="1:10" ht="20.100000000000001" customHeight="1">
      <c r="A63" s="45" t="s">
        <v>136</v>
      </c>
      <c r="B63" s="6">
        <v>3580</v>
      </c>
      <c r="C63" s="12">
        <f>(C40+C42+C43+C44+C46+C47+C48+C49+C50)-(C52+C53+C55+C56+C57+C59+C60+C61+C62)</f>
        <v>0</v>
      </c>
      <c r="D63" s="12">
        <f t="shared" ref="D63:J63" si="1">(D40+D42+D43+D44+D46+D47+D48+D49+D50)-(D52+D53+D55+D56+D57+D59+D60+D61+D62)</f>
        <v>0</v>
      </c>
      <c r="E63" s="12">
        <f t="shared" si="1"/>
        <v>0</v>
      </c>
      <c r="F63" s="12">
        <f t="shared" si="1"/>
        <v>0</v>
      </c>
      <c r="G63" s="12">
        <f t="shared" si="1"/>
        <v>0</v>
      </c>
      <c r="H63" s="12">
        <f t="shared" si="1"/>
        <v>0</v>
      </c>
      <c r="I63" s="12">
        <f t="shared" si="1"/>
        <v>0</v>
      </c>
      <c r="J63" s="12">
        <f t="shared" si="1"/>
        <v>0</v>
      </c>
    </row>
    <row r="64" spans="1:10" s="17" customFormat="1" ht="20.100000000000001" customHeight="1">
      <c r="A64" s="8" t="s">
        <v>20</v>
      </c>
      <c r="B64" s="6"/>
      <c r="C64" s="65"/>
      <c r="D64" s="65"/>
      <c r="E64" s="65"/>
      <c r="F64" s="65"/>
      <c r="G64" s="65"/>
      <c r="H64" s="65"/>
      <c r="I64" s="65"/>
      <c r="J64" s="65"/>
    </row>
    <row r="65" spans="1:10" s="17" customFormat="1" ht="20.100000000000001" customHeight="1">
      <c r="A65" s="10" t="s">
        <v>21</v>
      </c>
      <c r="B65" s="71">
        <v>3600</v>
      </c>
      <c r="C65" s="90"/>
      <c r="D65" s="90"/>
      <c r="E65" s="90"/>
      <c r="F65" s="90"/>
      <c r="G65" s="90"/>
      <c r="H65" s="90"/>
      <c r="I65" s="90"/>
      <c r="J65" s="90"/>
    </row>
    <row r="66" spans="1:10" s="17" customFormat="1" ht="20.100000000000001" customHeight="1">
      <c r="A66" s="56" t="s">
        <v>142</v>
      </c>
      <c r="B66" s="6">
        <v>3610</v>
      </c>
      <c r="C66" s="90"/>
      <c r="D66" s="66"/>
      <c r="E66" s="66"/>
      <c r="F66" s="66"/>
      <c r="G66" s="66"/>
      <c r="H66" s="66"/>
      <c r="I66" s="66"/>
      <c r="J66" s="66"/>
    </row>
    <row r="67" spans="1:10" s="17" customFormat="1" ht="20.100000000000001" customHeight="1">
      <c r="A67" s="10" t="s">
        <v>43</v>
      </c>
      <c r="B67" s="71">
        <v>3620</v>
      </c>
      <c r="C67" s="90">
        <f>C68+C65+C66</f>
        <v>0</v>
      </c>
      <c r="D67" s="90">
        <f t="shared" ref="D67:J67" si="2">D68+D65+D66</f>
        <v>0</v>
      </c>
      <c r="E67" s="90">
        <f t="shared" si="2"/>
        <v>0</v>
      </c>
      <c r="F67" s="90">
        <f t="shared" si="2"/>
        <v>0</v>
      </c>
      <c r="G67" s="90">
        <f t="shared" si="2"/>
        <v>0</v>
      </c>
      <c r="H67" s="90">
        <f t="shared" si="2"/>
        <v>0</v>
      </c>
      <c r="I67" s="90">
        <f t="shared" si="2"/>
        <v>0</v>
      </c>
      <c r="J67" s="90">
        <f t="shared" si="2"/>
        <v>0</v>
      </c>
    </row>
    <row r="68" spans="1:10" s="17" customFormat="1" ht="24" customHeight="1">
      <c r="A68" s="10" t="s">
        <v>22</v>
      </c>
      <c r="B68" s="71">
        <v>3630</v>
      </c>
      <c r="C68" s="90">
        <f>C20+C37+C63</f>
        <v>0</v>
      </c>
      <c r="D68" s="90">
        <f t="shared" ref="D68:J68" si="3">D20+D37+D63</f>
        <v>0</v>
      </c>
      <c r="E68" s="90">
        <f t="shared" si="3"/>
        <v>0</v>
      </c>
      <c r="F68" s="90">
        <f t="shared" si="3"/>
        <v>0</v>
      </c>
      <c r="G68" s="90">
        <f t="shared" si="3"/>
        <v>0</v>
      </c>
      <c r="H68" s="90">
        <f t="shared" si="3"/>
        <v>0</v>
      </c>
      <c r="I68" s="90">
        <f t="shared" si="3"/>
        <v>0</v>
      </c>
      <c r="J68" s="90">
        <f t="shared" si="3"/>
        <v>0</v>
      </c>
    </row>
    <row r="69" spans="1:10" s="17" customFormat="1" ht="20.100000000000001" customHeight="1">
      <c r="A69" s="2"/>
      <c r="B69" s="26"/>
      <c r="C69" s="28"/>
      <c r="D69" s="28"/>
      <c r="E69" s="28"/>
      <c r="F69" s="18"/>
      <c r="G69" s="27"/>
      <c r="H69" s="27"/>
      <c r="I69" s="27"/>
      <c r="J69" s="27"/>
    </row>
    <row r="70" spans="1:10" s="17" customFormat="1" ht="20.100000000000001" customHeight="1">
      <c r="A70" s="2"/>
      <c r="B70" s="26"/>
      <c r="C70" s="28"/>
      <c r="D70" s="28"/>
      <c r="E70" s="28"/>
      <c r="F70" s="18"/>
      <c r="G70" s="27"/>
      <c r="H70" s="27"/>
      <c r="I70" s="27"/>
      <c r="J70" s="27"/>
    </row>
    <row r="71" spans="1:10" s="3" customFormat="1" ht="20.100000000000001" customHeight="1">
      <c r="A71" s="44" t="s">
        <v>411</v>
      </c>
      <c r="B71" s="1"/>
      <c r="C71" s="557" t="s">
        <v>190</v>
      </c>
      <c r="D71" s="557"/>
      <c r="E71" s="557"/>
      <c r="F71" s="557"/>
      <c r="G71" s="14"/>
      <c r="H71" s="558" t="s">
        <v>412</v>
      </c>
      <c r="I71" s="558"/>
      <c r="J71" s="558"/>
    </row>
    <row r="72" spans="1:10" ht="20.100000000000001" customHeight="1">
      <c r="A72" s="51" t="s">
        <v>352</v>
      </c>
      <c r="B72" s="3"/>
      <c r="C72" s="553" t="s">
        <v>227</v>
      </c>
      <c r="D72" s="553"/>
      <c r="E72" s="553"/>
      <c r="F72" s="553"/>
      <c r="G72" s="23"/>
      <c r="H72" s="554" t="s">
        <v>89</v>
      </c>
      <c r="I72" s="554"/>
      <c r="J72" s="554"/>
    </row>
    <row r="73" spans="1:10">
      <c r="C73" s="4"/>
      <c r="D73" s="4"/>
      <c r="E73" s="4"/>
    </row>
    <row r="74" spans="1:10">
      <c r="C74" s="4"/>
      <c r="D74" s="4"/>
      <c r="E74" s="4"/>
    </row>
    <row r="75" spans="1:10">
      <c r="C75" s="4"/>
      <c r="D75" s="4"/>
      <c r="E75" s="4"/>
    </row>
    <row r="76" spans="1:10">
      <c r="C76" s="4"/>
      <c r="D76" s="4"/>
      <c r="E76" s="4"/>
    </row>
    <row r="77" spans="1:10">
      <c r="C77" s="4"/>
      <c r="D77" s="4"/>
      <c r="E77" s="4"/>
    </row>
    <row r="78" spans="1:10">
      <c r="C78" s="4"/>
      <c r="D78" s="4"/>
      <c r="E78" s="4"/>
    </row>
    <row r="79" spans="1:10">
      <c r="C79" s="4"/>
      <c r="D79" s="4"/>
      <c r="E79" s="4"/>
    </row>
    <row r="80" spans="1:10">
      <c r="C80" s="4"/>
      <c r="D80" s="4"/>
      <c r="E80" s="4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</sheetData>
  <mergeCells count="15">
    <mergeCell ref="C72:F72"/>
    <mergeCell ref="H72:J72"/>
    <mergeCell ref="A21:J21"/>
    <mergeCell ref="A8:J8"/>
    <mergeCell ref="A38:J38"/>
    <mergeCell ref="C71:F71"/>
    <mergeCell ref="H71:J71"/>
    <mergeCell ref="A3:J3"/>
    <mergeCell ref="A5:A6"/>
    <mergeCell ref="B5:B6"/>
    <mergeCell ref="C5:C6"/>
    <mergeCell ref="F5:F6"/>
    <mergeCell ref="G5:J5"/>
    <mergeCell ref="E5:E6"/>
    <mergeCell ref="D5:D6"/>
  </mergeCells>
  <phoneticPr fontId="3" type="noConversion"/>
  <pageMargins left="0.11811023622047245" right="0" top="0.98425196850393704" bottom="0.78740157480314965" header="0.19685039370078741" footer="0.23622047244094491"/>
  <pageSetup paperSize="9" scale="46" fitToHeight="0" orientation="portrait" r:id="rId1"/>
  <headerFooter alignWithMargins="0">
    <oddHeader xml:space="preserve">&amp;C&amp;"Times New Roman,обычный"&amp;14 
9&amp;R&amp;"Times New Roman,обычный"&amp;14
Продовження додатка 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4:Q186"/>
  <sheetViews>
    <sheetView zoomScale="80" zoomScaleNormal="80" zoomScaleSheetLayoutView="50" workbookViewId="0">
      <selection activeCell="I12" sqref="I12"/>
    </sheetView>
  </sheetViews>
  <sheetFormatPr defaultColWidth="9.140625" defaultRowHeight="18.75"/>
  <cols>
    <col min="1" max="1" width="70.28515625" style="3" customWidth="1"/>
    <col min="2" max="2" width="10.42578125" style="21" customWidth="1"/>
    <col min="3" max="5" width="19.42578125" style="21" customWidth="1"/>
    <col min="6" max="6" width="19.42578125" style="3" customWidth="1"/>
    <col min="7" max="8" width="17.140625" style="3" customWidth="1"/>
    <col min="9" max="9" width="17" style="3" customWidth="1"/>
    <col min="10" max="10" width="17.28515625" style="3" customWidth="1"/>
    <col min="11" max="11" width="9.5703125" style="3" customWidth="1"/>
    <col min="12" max="12" width="9.85546875" style="3" customWidth="1"/>
    <col min="13" max="16384" width="9.140625" style="3"/>
  </cols>
  <sheetData>
    <row r="4" spans="1:17">
      <c r="A4" s="551" t="s">
        <v>175</v>
      </c>
      <c r="B4" s="551"/>
      <c r="C4" s="551"/>
      <c r="D4" s="551"/>
      <c r="E4" s="551"/>
      <c r="F4" s="551"/>
      <c r="G4" s="551"/>
      <c r="H4" s="551"/>
      <c r="I4" s="551"/>
      <c r="J4" s="551"/>
    </row>
    <row r="5" spans="1:17">
      <c r="A5" s="558"/>
      <c r="B5" s="558"/>
      <c r="C5" s="558"/>
      <c r="D5" s="558"/>
      <c r="E5" s="558"/>
      <c r="F5" s="558"/>
      <c r="G5" s="558"/>
      <c r="H5" s="558"/>
      <c r="I5" s="558"/>
      <c r="J5" s="558"/>
    </row>
    <row r="6" spans="1:17" ht="43.5" customHeight="1">
      <c r="A6" s="555" t="s">
        <v>196</v>
      </c>
      <c r="B6" s="556" t="s">
        <v>7</v>
      </c>
      <c r="C6" s="556" t="s">
        <v>17</v>
      </c>
      <c r="D6" s="563" t="s">
        <v>287</v>
      </c>
      <c r="E6" s="578" t="s">
        <v>283</v>
      </c>
      <c r="F6" s="556" t="s">
        <v>9</v>
      </c>
      <c r="G6" s="556" t="s">
        <v>284</v>
      </c>
      <c r="H6" s="556"/>
      <c r="I6" s="556"/>
      <c r="J6" s="556"/>
    </row>
    <row r="7" spans="1:17" ht="56.25" customHeight="1">
      <c r="A7" s="555"/>
      <c r="B7" s="556"/>
      <c r="C7" s="556"/>
      <c r="D7" s="567"/>
      <c r="E7" s="579"/>
      <c r="F7" s="556"/>
      <c r="G7" s="15" t="s">
        <v>155</v>
      </c>
      <c r="H7" s="15" t="s">
        <v>156</v>
      </c>
      <c r="I7" s="15" t="s">
        <v>157</v>
      </c>
      <c r="J7" s="15" t="s">
        <v>61</v>
      </c>
    </row>
    <row r="8" spans="1:17" ht="18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7" s="5" customFormat="1" ht="42.75" customHeight="1">
      <c r="A9" s="85" t="s">
        <v>72</v>
      </c>
      <c r="B9" s="89">
        <v>4000</v>
      </c>
      <c r="C9" s="95">
        <f t="shared" ref="C9:I9" si="0">SUM(C10:C14)</f>
        <v>2125.5500000000002</v>
      </c>
      <c r="D9" s="95">
        <f t="shared" si="0"/>
        <v>0</v>
      </c>
      <c r="E9" s="95">
        <f t="shared" si="0"/>
        <v>518.4</v>
      </c>
      <c r="F9" s="95">
        <f t="shared" si="0"/>
        <v>3000</v>
      </c>
      <c r="G9" s="95">
        <f t="shared" si="0"/>
        <v>0</v>
      </c>
      <c r="H9" s="95">
        <f t="shared" si="0"/>
        <v>0</v>
      </c>
      <c r="I9" s="95">
        <f t="shared" si="0"/>
        <v>3000</v>
      </c>
      <c r="J9" s="95">
        <f>SUM(J10:J14)</f>
        <v>0</v>
      </c>
    </row>
    <row r="10" spans="1:17" ht="20.100000000000001" customHeight="1">
      <c r="A10" s="8" t="s">
        <v>1</v>
      </c>
      <c r="B10" s="62" t="s">
        <v>180</v>
      </c>
      <c r="C10" s="98"/>
      <c r="D10" s="98"/>
      <c r="E10" s="98"/>
      <c r="F10" s="12">
        <f>G10+H10+I10+J10</f>
        <v>0</v>
      </c>
      <c r="G10" s="12"/>
      <c r="H10" s="12"/>
      <c r="I10" s="12"/>
      <c r="J10" s="12"/>
    </row>
    <row r="11" spans="1:17" ht="20.100000000000001" customHeight="1">
      <c r="A11" s="229" t="s">
        <v>2</v>
      </c>
      <c r="B11" s="258">
        <v>4020</v>
      </c>
      <c r="C11" s="259">
        <f>2099.425+7.968</f>
        <v>2107.393</v>
      </c>
      <c r="D11" s="259"/>
      <c r="E11" s="259">
        <v>180</v>
      </c>
      <c r="F11" s="260">
        <f>G11+H11+I11+J11</f>
        <v>3000</v>
      </c>
      <c r="G11" s="260"/>
      <c r="H11" s="260"/>
      <c r="I11" s="260">
        <v>3000</v>
      </c>
      <c r="J11" s="260"/>
      <c r="Q11" s="19"/>
    </row>
    <row r="12" spans="1:17" ht="36.75" customHeight="1">
      <c r="A12" s="8" t="s">
        <v>16</v>
      </c>
      <c r="B12" s="62">
        <v>4030</v>
      </c>
      <c r="C12" s="98"/>
      <c r="D12" s="98"/>
      <c r="E12" s="98"/>
      <c r="F12" s="12">
        <f>G12+H12+I12+J12</f>
        <v>0</v>
      </c>
      <c r="G12" s="12"/>
      <c r="H12" s="12"/>
      <c r="I12" s="12"/>
      <c r="J12" s="12"/>
      <c r="P12" s="19"/>
    </row>
    <row r="13" spans="1:17" ht="20.100000000000001" customHeight="1">
      <c r="A13" s="8" t="s">
        <v>3</v>
      </c>
      <c r="B13" s="61">
        <v>4040</v>
      </c>
      <c r="C13" s="98"/>
      <c r="D13" s="98"/>
      <c r="E13" s="98"/>
      <c r="F13" s="12">
        <f>G13+H13+I13+J13</f>
        <v>0</v>
      </c>
      <c r="G13" s="12"/>
      <c r="H13" s="12"/>
      <c r="I13" s="12"/>
      <c r="J13" s="12"/>
    </row>
    <row r="14" spans="1:17" ht="42.75" customHeight="1">
      <c r="A14" s="8" t="s">
        <v>57</v>
      </c>
      <c r="B14" s="62">
        <v>4050</v>
      </c>
      <c r="C14" s="98">
        <f>SUM(C15:C16)</f>
        <v>18.157</v>
      </c>
      <c r="D14" s="98">
        <f t="shared" ref="D14:J14" si="1">SUM(D15:D16)</f>
        <v>0</v>
      </c>
      <c r="E14" s="98">
        <f t="shared" si="1"/>
        <v>338.4</v>
      </c>
      <c r="F14" s="98">
        <f t="shared" si="1"/>
        <v>0</v>
      </c>
      <c r="G14" s="98">
        <f t="shared" si="1"/>
        <v>0</v>
      </c>
      <c r="H14" s="98">
        <f t="shared" si="1"/>
        <v>0</v>
      </c>
      <c r="I14" s="98">
        <f t="shared" si="1"/>
        <v>0</v>
      </c>
      <c r="J14" s="98">
        <f t="shared" si="1"/>
        <v>0</v>
      </c>
    </row>
    <row r="15" spans="1:17">
      <c r="A15" s="261" t="s">
        <v>373</v>
      </c>
      <c r="B15" s="262" t="s">
        <v>317</v>
      </c>
      <c r="C15" s="262">
        <v>18.157</v>
      </c>
      <c r="D15" s="263"/>
      <c r="E15" s="263">
        <v>338.4</v>
      </c>
      <c r="F15" s="260">
        <f>G15+H15+I15+J15</f>
        <v>0</v>
      </c>
      <c r="G15" s="264"/>
      <c r="H15" s="264"/>
      <c r="I15" s="264"/>
      <c r="J15" s="264"/>
    </row>
    <row r="16" spans="1:17">
      <c r="A16" s="261" t="s">
        <v>374</v>
      </c>
      <c r="B16" s="262" t="s">
        <v>375</v>
      </c>
      <c r="C16" s="262"/>
      <c r="D16" s="263"/>
      <c r="E16" s="263"/>
      <c r="F16" s="260">
        <f>G16+H16+I16+J16</f>
        <v>0</v>
      </c>
      <c r="G16" s="264"/>
      <c r="H16" s="264"/>
      <c r="I16" s="264"/>
      <c r="J16" s="264"/>
    </row>
    <row r="17" spans="1:11" ht="20.100000000000001" customHeight="1">
      <c r="B17" s="3"/>
      <c r="C17" s="3"/>
      <c r="D17" s="3"/>
      <c r="E17" s="3"/>
      <c r="F17" s="53"/>
      <c r="G17" s="53"/>
      <c r="H17" s="53"/>
      <c r="I17" s="53"/>
      <c r="J17" s="53"/>
    </row>
    <row r="18" spans="1:11" s="2" customFormat="1" ht="20.100000000000001" customHeight="1">
      <c r="A18" s="4"/>
      <c r="C18" s="3"/>
      <c r="D18" s="3"/>
      <c r="E18" s="3"/>
      <c r="F18" s="3"/>
      <c r="G18" s="3"/>
      <c r="H18" s="3"/>
      <c r="I18" s="3"/>
      <c r="J18" s="3"/>
      <c r="K18" s="3"/>
    </row>
    <row r="19" spans="1:11" ht="20.100000000000001" customHeight="1">
      <c r="A19" s="44" t="s">
        <v>411</v>
      </c>
      <c r="B19" s="1"/>
      <c r="C19" s="557" t="s">
        <v>190</v>
      </c>
      <c r="D19" s="557"/>
      <c r="E19" s="557"/>
      <c r="F19" s="557"/>
      <c r="G19" s="14"/>
      <c r="H19" s="558" t="s">
        <v>412</v>
      </c>
      <c r="I19" s="558"/>
      <c r="J19" s="558"/>
    </row>
    <row r="20" spans="1:11" s="2" customFormat="1" ht="20.100000000000001" customHeight="1">
      <c r="A20" s="51" t="s">
        <v>352</v>
      </c>
      <c r="B20" s="3"/>
      <c r="C20" s="553" t="s">
        <v>227</v>
      </c>
      <c r="D20" s="553"/>
      <c r="E20" s="553"/>
      <c r="F20" s="553"/>
      <c r="G20" s="23"/>
      <c r="H20" s="554" t="s">
        <v>89</v>
      </c>
      <c r="I20" s="554"/>
      <c r="J20" s="554"/>
    </row>
    <row r="21" spans="1:11">
      <c r="A21" s="37"/>
    </row>
    <row r="22" spans="1:11">
      <c r="A22" s="37"/>
    </row>
    <row r="23" spans="1:11">
      <c r="A23" s="37"/>
    </row>
    <row r="24" spans="1:11">
      <c r="A24" s="37"/>
    </row>
    <row r="25" spans="1:11">
      <c r="A25" s="37"/>
    </row>
    <row r="26" spans="1:11">
      <c r="A26" s="37"/>
    </row>
    <row r="27" spans="1:11">
      <c r="A27" s="37"/>
    </row>
    <row r="28" spans="1:11">
      <c r="A28" s="37"/>
    </row>
    <row r="29" spans="1:11">
      <c r="A29" s="37"/>
    </row>
    <row r="30" spans="1:11">
      <c r="A30" s="37"/>
    </row>
    <row r="31" spans="1:11">
      <c r="A31" s="37"/>
    </row>
    <row r="32" spans="1:11">
      <c r="A32" s="37"/>
    </row>
    <row r="33" spans="1:1">
      <c r="A33" s="37"/>
    </row>
    <row r="34" spans="1:1">
      <c r="A34" s="37"/>
    </row>
    <row r="35" spans="1:1">
      <c r="A35" s="37"/>
    </row>
    <row r="36" spans="1:1">
      <c r="A36" s="37"/>
    </row>
    <row r="37" spans="1:1">
      <c r="A37" s="37"/>
    </row>
    <row r="38" spans="1:1">
      <c r="A38" s="37"/>
    </row>
    <row r="39" spans="1:1">
      <c r="A39" s="37"/>
    </row>
    <row r="40" spans="1:1">
      <c r="A40" s="37"/>
    </row>
    <row r="41" spans="1:1">
      <c r="A41" s="37"/>
    </row>
    <row r="42" spans="1:1">
      <c r="A42" s="37"/>
    </row>
    <row r="43" spans="1:1">
      <c r="A43" s="37"/>
    </row>
    <row r="44" spans="1:1">
      <c r="A44" s="37"/>
    </row>
    <row r="45" spans="1:1">
      <c r="A45" s="37"/>
    </row>
    <row r="46" spans="1:1">
      <c r="A46" s="37"/>
    </row>
    <row r="47" spans="1:1">
      <c r="A47" s="37"/>
    </row>
    <row r="48" spans="1:1">
      <c r="A48" s="37"/>
    </row>
    <row r="49" spans="1:1">
      <c r="A49" s="37"/>
    </row>
    <row r="50" spans="1:1">
      <c r="A50" s="37"/>
    </row>
    <row r="51" spans="1:1">
      <c r="A51" s="37"/>
    </row>
    <row r="52" spans="1:1">
      <c r="A52" s="37"/>
    </row>
    <row r="53" spans="1:1">
      <c r="A53" s="37"/>
    </row>
    <row r="54" spans="1:1">
      <c r="A54" s="37"/>
    </row>
    <row r="55" spans="1:1">
      <c r="A55" s="37"/>
    </row>
    <row r="56" spans="1:1">
      <c r="A56" s="37"/>
    </row>
    <row r="57" spans="1:1">
      <c r="A57" s="37"/>
    </row>
    <row r="58" spans="1:1">
      <c r="A58" s="37"/>
    </row>
    <row r="59" spans="1:1">
      <c r="A59" s="37"/>
    </row>
    <row r="60" spans="1:1">
      <c r="A60" s="37"/>
    </row>
    <row r="61" spans="1:1">
      <c r="A61" s="37"/>
    </row>
    <row r="62" spans="1:1">
      <c r="A62" s="37"/>
    </row>
    <row r="63" spans="1:1">
      <c r="A63" s="37"/>
    </row>
    <row r="64" spans="1:1">
      <c r="A64" s="37"/>
    </row>
    <row r="65" spans="1:1">
      <c r="A65" s="37"/>
    </row>
    <row r="66" spans="1:1">
      <c r="A66" s="37"/>
    </row>
    <row r="67" spans="1:1">
      <c r="A67" s="37"/>
    </row>
    <row r="68" spans="1:1">
      <c r="A68" s="37"/>
    </row>
    <row r="69" spans="1:1">
      <c r="A69" s="37"/>
    </row>
    <row r="70" spans="1:1">
      <c r="A70" s="37"/>
    </row>
    <row r="71" spans="1:1">
      <c r="A71" s="37"/>
    </row>
    <row r="72" spans="1:1">
      <c r="A72" s="37"/>
    </row>
    <row r="73" spans="1:1">
      <c r="A73" s="37"/>
    </row>
    <row r="74" spans="1:1">
      <c r="A74" s="37"/>
    </row>
    <row r="75" spans="1:1">
      <c r="A75" s="37"/>
    </row>
    <row r="76" spans="1:1">
      <c r="A76" s="37"/>
    </row>
    <row r="77" spans="1:1">
      <c r="A77" s="37"/>
    </row>
    <row r="78" spans="1:1">
      <c r="A78" s="37"/>
    </row>
    <row r="79" spans="1:1">
      <c r="A79" s="37"/>
    </row>
    <row r="80" spans="1:1">
      <c r="A80" s="37"/>
    </row>
    <row r="81" spans="1:1">
      <c r="A81" s="37"/>
    </row>
    <row r="82" spans="1:1">
      <c r="A82" s="37"/>
    </row>
    <row r="83" spans="1:1">
      <c r="A83" s="37"/>
    </row>
    <row r="84" spans="1:1">
      <c r="A84" s="37"/>
    </row>
    <row r="85" spans="1:1">
      <c r="A85" s="37"/>
    </row>
    <row r="86" spans="1:1">
      <c r="A86" s="37"/>
    </row>
    <row r="87" spans="1:1">
      <c r="A87" s="37"/>
    </row>
    <row r="88" spans="1:1">
      <c r="A88" s="37"/>
    </row>
    <row r="89" spans="1:1">
      <c r="A89" s="37"/>
    </row>
    <row r="90" spans="1:1">
      <c r="A90" s="37"/>
    </row>
    <row r="91" spans="1:1">
      <c r="A91" s="37"/>
    </row>
    <row r="92" spans="1:1">
      <c r="A92" s="37"/>
    </row>
    <row r="93" spans="1:1">
      <c r="A93" s="37"/>
    </row>
    <row r="94" spans="1:1">
      <c r="A94" s="37"/>
    </row>
    <row r="95" spans="1:1">
      <c r="A95" s="37"/>
    </row>
    <row r="96" spans="1:1">
      <c r="A96" s="37"/>
    </row>
    <row r="97" spans="1:1">
      <c r="A97" s="37"/>
    </row>
    <row r="98" spans="1:1">
      <c r="A98" s="37"/>
    </row>
    <row r="99" spans="1:1">
      <c r="A99" s="37"/>
    </row>
    <row r="100" spans="1:1">
      <c r="A100" s="37"/>
    </row>
    <row r="101" spans="1:1">
      <c r="A101" s="37"/>
    </row>
    <row r="102" spans="1:1">
      <c r="A102" s="37"/>
    </row>
    <row r="103" spans="1:1">
      <c r="A103" s="37"/>
    </row>
    <row r="104" spans="1:1">
      <c r="A104" s="37"/>
    </row>
    <row r="105" spans="1:1">
      <c r="A105" s="37"/>
    </row>
    <row r="106" spans="1:1">
      <c r="A106" s="37"/>
    </row>
    <row r="107" spans="1:1">
      <c r="A107" s="37"/>
    </row>
    <row r="108" spans="1:1">
      <c r="A108" s="37"/>
    </row>
    <row r="109" spans="1:1">
      <c r="A109" s="37"/>
    </row>
    <row r="110" spans="1:1">
      <c r="A110" s="37"/>
    </row>
    <row r="111" spans="1:1">
      <c r="A111" s="37"/>
    </row>
    <row r="112" spans="1:1">
      <c r="A112" s="37"/>
    </row>
    <row r="113" spans="1:1">
      <c r="A113" s="37"/>
    </row>
    <row r="114" spans="1:1">
      <c r="A114" s="37"/>
    </row>
    <row r="115" spans="1:1">
      <c r="A115" s="37"/>
    </row>
    <row r="116" spans="1:1">
      <c r="A116" s="37"/>
    </row>
    <row r="117" spans="1:1">
      <c r="A117" s="37"/>
    </row>
    <row r="118" spans="1:1">
      <c r="A118" s="37"/>
    </row>
    <row r="119" spans="1:1">
      <c r="A119" s="37"/>
    </row>
    <row r="120" spans="1:1">
      <c r="A120" s="37"/>
    </row>
    <row r="121" spans="1:1">
      <c r="A121" s="37"/>
    </row>
    <row r="122" spans="1:1">
      <c r="A122" s="37"/>
    </row>
    <row r="123" spans="1:1">
      <c r="A123" s="37"/>
    </row>
    <row r="124" spans="1:1">
      <c r="A124" s="37"/>
    </row>
    <row r="125" spans="1:1">
      <c r="A125" s="37"/>
    </row>
    <row r="126" spans="1:1">
      <c r="A126" s="37"/>
    </row>
    <row r="127" spans="1:1">
      <c r="A127" s="37"/>
    </row>
    <row r="128" spans="1:1">
      <c r="A128" s="37"/>
    </row>
    <row r="129" spans="1:1">
      <c r="A129" s="37"/>
    </row>
    <row r="130" spans="1:1">
      <c r="A130" s="37"/>
    </row>
    <row r="131" spans="1:1">
      <c r="A131" s="37"/>
    </row>
    <row r="132" spans="1:1">
      <c r="A132" s="37"/>
    </row>
    <row r="133" spans="1:1">
      <c r="A133" s="37"/>
    </row>
    <row r="134" spans="1:1">
      <c r="A134" s="37"/>
    </row>
    <row r="135" spans="1:1">
      <c r="A135" s="37"/>
    </row>
    <row r="136" spans="1:1">
      <c r="A136" s="37"/>
    </row>
    <row r="137" spans="1:1">
      <c r="A137" s="37"/>
    </row>
    <row r="138" spans="1:1">
      <c r="A138" s="37"/>
    </row>
    <row r="139" spans="1:1">
      <c r="A139" s="37"/>
    </row>
    <row r="140" spans="1:1">
      <c r="A140" s="37"/>
    </row>
    <row r="141" spans="1:1">
      <c r="A141" s="37"/>
    </row>
    <row r="142" spans="1:1">
      <c r="A142" s="37"/>
    </row>
    <row r="143" spans="1:1">
      <c r="A143" s="37"/>
    </row>
    <row r="144" spans="1:1">
      <c r="A144" s="37"/>
    </row>
    <row r="145" spans="1:1">
      <c r="A145" s="37"/>
    </row>
    <row r="146" spans="1:1">
      <c r="A146" s="37"/>
    </row>
    <row r="147" spans="1:1">
      <c r="A147" s="37"/>
    </row>
    <row r="148" spans="1:1">
      <c r="A148" s="37"/>
    </row>
    <row r="149" spans="1:1">
      <c r="A149" s="37"/>
    </row>
    <row r="150" spans="1:1">
      <c r="A150" s="37"/>
    </row>
    <row r="151" spans="1:1">
      <c r="A151" s="37"/>
    </row>
    <row r="152" spans="1:1">
      <c r="A152" s="37"/>
    </row>
    <row r="153" spans="1:1">
      <c r="A153" s="37"/>
    </row>
    <row r="154" spans="1:1">
      <c r="A154" s="37"/>
    </row>
    <row r="155" spans="1:1">
      <c r="A155" s="37"/>
    </row>
    <row r="156" spans="1:1">
      <c r="A156" s="37"/>
    </row>
    <row r="157" spans="1:1">
      <c r="A157" s="37"/>
    </row>
    <row r="158" spans="1:1">
      <c r="A158" s="37"/>
    </row>
    <row r="159" spans="1:1">
      <c r="A159" s="37"/>
    </row>
    <row r="160" spans="1:1">
      <c r="A160" s="37"/>
    </row>
    <row r="161" spans="1:1">
      <c r="A161" s="37"/>
    </row>
    <row r="162" spans="1:1">
      <c r="A162" s="37"/>
    </row>
    <row r="163" spans="1:1">
      <c r="A163" s="37"/>
    </row>
    <row r="164" spans="1:1">
      <c r="A164" s="37"/>
    </row>
    <row r="165" spans="1:1">
      <c r="A165" s="37"/>
    </row>
    <row r="166" spans="1:1">
      <c r="A166" s="37"/>
    </row>
    <row r="167" spans="1:1">
      <c r="A167" s="37"/>
    </row>
    <row r="168" spans="1:1">
      <c r="A168" s="37"/>
    </row>
    <row r="169" spans="1:1">
      <c r="A169" s="37"/>
    </row>
    <row r="170" spans="1:1">
      <c r="A170" s="37"/>
    </row>
    <row r="171" spans="1:1">
      <c r="A171" s="37"/>
    </row>
    <row r="172" spans="1:1">
      <c r="A172" s="37"/>
    </row>
    <row r="173" spans="1:1">
      <c r="A173" s="37"/>
    </row>
    <row r="174" spans="1:1">
      <c r="A174" s="37"/>
    </row>
    <row r="175" spans="1:1">
      <c r="A175" s="37"/>
    </row>
    <row r="176" spans="1:1">
      <c r="A176" s="37"/>
    </row>
    <row r="177" spans="1:1">
      <c r="A177" s="37"/>
    </row>
    <row r="178" spans="1:1">
      <c r="A178" s="37"/>
    </row>
    <row r="179" spans="1:1">
      <c r="A179" s="37"/>
    </row>
    <row r="180" spans="1:1">
      <c r="A180" s="37"/>
    </row>
    <row r="181" spans="1:1">
      <c r="A181" s="37"/>
    </row>
    <row r="182" spans="1:1">
      <c r="A182" s="37"/>
    </row>
    <row r="183" spans="1:1">
      <c r="A183" s="37"/>
    </row>
    <row r="184" spans="1:1">
      <c r="A184" s="37"/>
    </row>
    <row r="185" spans="1:1">
      <c r="A185" s="37"/>
    </row>
    <row r="186" spans="1:1">
      <c r="A186" s="37"/>
    </row>
  </sheetData>
  <mergeCells count="13">
    <mergeCell ref="C19:F19"/>
    <mergeCell ref="H19:J19"/>
    <mergeCell ref="C20:F20"/>
    <mergeCell ref="H20:J20"/>
    <mergeCell ref="A6:A7"/>
    <mergeCell ref="A4:J4"/>
    <mergeCell ref="B6:B7"/>
    <mergeCell ref="C6:C7"/>
    <mergeCell ref="A5:J5"/>
    <mergeCell ref="F6:F7"/>
    <mergeCell ref="D6:D7"/>
    <mergeCell ref="E6:E7"/>
    <mergeCell ref="G6:J6"/>
  </mergeCells>
  <phoneticPr fontId="0" type="noConversion"/>
  <pageMargins left="0.70866141732283472" right="0.19685039370078741" top="0.78740157480314965" bottom="0.78740157480314965" header="0.27559055118110237" footer="0.31496062992125984"/>
  <pageSetup paperSize="9" scale="42" firstPageNumber="9" fitToHeight="0" orientation="portrait" useFirstPageNumber="1" r:id="rId1"/>
  <headerFooter alignWithMargins="0">
    <oddHeader>&amp;C&amp;"Times New Roman,обычный"&amp;14 10&amp;R&amp;"Times New Roman,обычный"&amp;14
Продовження додатка 1 
Таблиця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  <pageSetUpPr fitToPage="1"/>
  </sheetPr>
  <dimension ref="A1:AG135"/>
  <sheetViews>
    <sheetView view="pageBreakPreview" zoomScale="75" zoomScaleNormal="75" zoomScaleSheetLayoutView="75" workbookViewId="0">
      <selection activeCell="J22" sqref="J22"/>
    </sheetView>
  </sheetViews>
  <sheetFormatPr defaultColWidth="9.140625" defaultRowHeight="18.75"/>
  <cols>
    <col min="1" max="1" width="43.28515625" style="122" customWidth="1"/>
    <col min="2" max="2" width="12" style="151" customWidth="1"/>
    <col min="3" max="3" width="13.140625" style="151" customWidth="1"/>
    <col min="4" max="4" width="15.85546875" style="151" customWidth="1"/>
    <col min="5" max="5" width="15.5703125" style="122" customWidth="1"/>
    <col min="6" max="6" width="15.140625" style="122" customWidth="1"/>
    <col min="7" max="7" width="16" style="122" customWidth="1"/>
    <col min="8" max="8" width="15.28515625" style="122" customWidth="1"/>
    <col min="9" max="9" width="15.85546875" style="122" customWidth="1"/>
    <col min="10" max="10" width="14.85546875" style="122" customWidth="1"/>
    <col min="11" max="11" width="20.5703125" style="122" customWidth="1"/>
    <col min="12" max="12" width="14.5703125" style="122" customWidth="1"/>
    <col min="13" max="13" width="12.7109375" style="122" customWidth="1"/>
    <col min="14" max="14" width="9.140625" style="122" customWidth="1"/>
    <col min="15" max="15" width="15.7109375" style="122" customWidth="1"/>
    <col min="16" max="16" width="10.5703125" style="122" customWidth="1"/>
    <col min="17" max="18" width="11" style="122" bestFit="1" customWidth="1"/>
    <col min="19" max="19" width="10.7109375" style="122" customWidth="1"/>
    <col min="20" max="20" width="12.28515625" style="122" customWidth="1"/>
    <col min="21" max="21" width="9.5703125" style="122" customWidth="1"/>
    <col min="22" max="22" width="8.7109375" style="122" customWidth="1"/>
    <col min="23" max="23" width="9.28515625" style="122" customWidth="1"/>
    <col min="24" max="24" width="8" style="122" customWidth="1"/>
    <col min="25" max="25" width="12.85546875" style="122" customWidth="1"/>
    <col min="26" max="26" width="9.28515625" style="122" customWidth="1"/>
    <col min="27" max="27" width="10.42578125" style="122" customWidth="1"/>
    <col min="28" max="28" width="10.5703125" style="122" customWidth="1"/>
    <col min="29" max="29" width="9.28515625" style="122" customWidth="1"/>
    <col min="30" max="16384" width="9.140625" style="122"/>
  </cols>
  <sheetData>
    <row r="1" spans="1:15">
      <c r="A1" s="649" t="s">
        <v>108</v>
      </c>
      <c r="B1" s="649"/>
      <c r="C1" s="649"/>
      <c r="D1" s="649"/>
      <c r="E1" s="649"/>
      <c r="F1" s="649"/>
      <c r="G1" s="649"/>
      <c r="H1" s="649"/>
      <c r="I1" s="649"/>
      <c r="J1" s="380"/>
      <c r="K1" s="380"/>
      <c r="L1" s="380"/>
      <c r="M1" s="380"/>
      <c r="N1" s="380"/>
      <c r="O1" s="380"/>
    </row>
    <row r="2" spans="1:15">
      <c r="A2" s="649" t="s">
        <v>415</v>
      </c>
      <c r="B2" s="649"/>
      <c r="C2" s="649"/>
      <c r="D2" s="649"/>
      <c r="E2" s="649"/>
      <c r="F2" s="649"/>
      <c r="G2" s="649"/>
      <c r="H2" s="649"/>
      <c r="I2" s="649"/>
      <c r="J2" s="380"/>
      <c r="K2" s="380"/>
      <c r="L2" s="380"/>
      <c r="M2" s="380"/>
      <c r="N2" s="380"/>
      <c r="O2" s="380"/>
    </row>
    <row r="3" spans="1:15">
      <c r="A3" s="657" t="s">
        <v>407</v>
      </c>
      <c r="B3" s="657"/>
      <c r="C3" s="657"/>
      <c r="D3" s="657"/>
      <c r="E3" s="657"/>
      <c r="F3" s="657"/>
      <c r="G3" s="657"/>
      <c r="H3" s="657"/>
      <c r="I3" s="657"/>
      <c r="J3" s="382"/>
      <c r="K3" s="382"/>
      <c r="L3" s="382"/>
      <c r="M3" s="382"/>
      <c r="N3" s="382"/>
      <c r="O3" s="382"/>
    </row>
    <row r="4" spans="1:15" ht="20.100000000000001" customHeight="1">
      <c r="A4" s="656" t="s">
        <v>115</v>
      </c>
      <c r="B4" s="656"/>
      <c r="C4" s="656"/>
      <c r="D4" s="656"/>
      <c r="E4" s="656"/>
      <c r="F4" s="656"/>
      <c r="G4" s="656"/>
      <c r="H4" s="656"/>
      <c r="I4" s="656"/>
      <c r="J4" s="381"/>
      <c r="K4" s="381"/>
      <c r="L4" s="381"/>
      <c r="M4" s="381"/>
      <c r="N4" s="381"/>
      <c r="O4" s="381"/>
    </row>
    <row r="5" spans="1:15" ht="21.95" customHeight="1">
      <c r="A5" s="117" t="s">
        <v>79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5" ht="16.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15" ht="18.75" customHeight="1">
      <c r="A7" s="122" t="s">
        <v>230</v>
      </c>
      <c r="B7" s="122"/>
      <c r="C7" s="122"/>
      <c r="D7" s="122"/>
    </row>
    <row r="8" spans="1:15" ht="18.7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s="120" customFormat="1" ht="56.25">
      <c r="A9" s="371" t="s">
        <v>196</v>
      </c>
      <c r="B9" s="372" t="s">
        <v>17</v>
      </c>
      <c r="C9" s="372" t="s">
        <v>288</v>
      </c>
      <c r="D9" s="372" t="s">
        <v>283</v>
      </c>
      <c r="E9" s="372" t="s">
        <v>244</v>
      </c>
      <c r="F9" s="556" t="s">
        <v>285</v>
      </c>
      <c r="G9" s="556"/>
      <c r="H9" s="556" t="s">
        <v>289</v>
      </c>
      <c r="I9" s="556"/>
      <c r="J9" s="342"/>
      <c r="K9" s="77"/>
      <c r="L9" s="146"/>
      <c r="M9" s="391"/>
      <c r="N9" s="382"/>
      <c r="O9" s="382"/>
    </row>
    <row r="10" spans="1:15" s="120" customFormat="1" ht="18" customHeight="1">
      <c r="A10" s="371">
        <v>1</v>
      </c>
      <c r="B10" s="371">
        <v>2</v>
      </c>
      <c r="C10" s="371">
        <v>3</v>
      </c>
      <c r="D10" s="371">
        <v>4</v>
      </c>
      <c r="E10" s="371">
        <v>5</v>
      </c>
      <c r="F10" s="556">
        <v>6</v>
      </c>
      <c r="G10" s="556"/>
      <c r="H10" s="556">
        <v>7</v>
      </c>
      <c r="I10" s="648"/>
      <c r="J10" s="373"/>
      <c r="K10" s="373"/>
      <c r="M10" s="391"/>
      <c r="N10" s="382"/>
      <c r="O10" s="382"/>
    </row>
    <row r="11" spans="1:15" s="120" customFormat="1" ht="37.5">
      <c r="A11" s="376" t="s">
        <v>116</v>
      </c>
      <c r="B11" s="343">
        <f>B12+B13+B14+B15+B16+B17</f>
        <v>579</v>
      </c>
      <c r="C11" s="343">
        <f>C12+C13+C14+C15+C16+C17</f>
        <v>580</v>
      </c>
      <c r="D11" s="343">
        <f>D12+D13+D14+D15+D16+D17</f>
        <v>563</v>
      </c>
      <c r="E11" s="343">
        <f>E12+E13+E14+E15+E16+E17</f>
        <v>395</v>
      </c>
      <c r="F11" s="647">
        <f>E11/D11*100</f>
        <v>70.159857904085257</v>
      </c>
      <c r="G11" s="647"/>
      <c r="H11" s="647">
        <f>E11/B11*100</f>
        <v>68.221070811744383</v>
      </c>
      <c r="I11" s="647"/>
      <c r="J11" s="53"/>
      <c r="K11" s="373"/>
      <c r="M11" s="391"/>
      <c r="N11" s="295"/>
      <c r="O11" s="295"/>
    </row>
    <row r="12" spans="1:15" s="120" customFormat="1">
      <c r="A12" s="8" t="s">
        <v>213</v>
      </c>
      <c r="B12" s="344">
        <v>12</v>
      </c>
      <c r="C12" s="344">
        <v>12</v>
      </c>
      <c r="D12" s="344">
        <v>12</v>
      </c>
      <c r="E12" s="344">
        <v>12</v>
      </c>
      <c r="F12" s="647">
        <f t="shared" ref="F12:F33" si="0">E12/D12*100</f>
        <v>100</v>
      </c>
      <c r="G12" s="647"/>
      <c r="H12" s="647">
        <f t="shared" ref="H12:H33" si="1">E12/B12*100</f>
        <v>100</v>
      </c>
      <c r="I12" s="647"/>
      <c r="J12" s="345"/>
      <c r="K12" s="77"/>
      <c r="L12" s="391"/>
      <c r="M12" s="391"/>
      <c r="N12" s="295"/>
      <c r="O12" s="295"/>
    </row>
    <row r="13" spans="1:15" s="120" customFormat="1">
      <c r="A13" s="8" t="s">
        <v>214</v>
      </c>
      <c r="B13" s="344">
        <v>136</v>
      </c>
      <c r="C13" s="344">
        <v>138</v>
      </c>
      <c r="D13" s="344">
        <v>133</v>
      </c>
      <c r="E13" s="344">
        <v>110</v>
      </c>
      <c r="F13" s="647">
        <f t="shared" si="0"/>
        <v>82.706766917293223</v>
      </c>
      <c r="G13" s="647"/>
      <c r="H13" s="647">
        <f t="shared" si="1"/>
        <v>80.882352941176478</v>
      </c>
      <c r="I13" s="647"/>
      <c r="J13" s="345"/>
      <c r="K13" s="77"/>
      <c r="L13" s="391"/>
      <c r="M13" s="391"/>
      <c r="N13" s="295"/>
      <c r="O13" s="295"/>
    </row>
    <row r="14" spans="1:15" s="120" customFormat="1">
      <c r="A14" s="8" t="s">
        <v>215</v>
      </c>
      <c r="B14" s="344">
        <v>260</v>
      </c>
      <c r="C14" s="344">
        <v>260</v>
      </c>
      <c r="D14" s="344">
        <v>255</v>
      </c>
      <c r="E14" s="344">
        <v>176</v>
      </c>
      <c r="F14" s="647">
        <f t="shared" si="0"/>
        <v>69.019607843137251</v>
      </c>
      <c r="G14" s="647"/>
      <c r="H14" s="647">
        <f t="shared" si="1"/>
        <v>67.692307692307693</v>
      </c>
      <c r="I14" s="647"/>
      <c r="J14" s="345"/>
      <c r="K14" s="77"/>
      <c r="L14" s="391"/>
      <c r="M14" s="391"/>
      <c r="N14" s="295"/>
      <c r="O14" s="295"/>
    </row>
    <row r="15" spans="1:15" s="120" customFormat="1">
      <c r="A15" s="8" t="s">
        <v>216</v>
      </c>
      <c r="B15" s="344">
        <v>41</v>
      </c>
      <c r="C15" s="344">
        <v>41</v>
      </c>
      <c r="D15" s="344">
        <v>40</v>
      </c>
      <c r="E15" s="344">
        <v>40</v>
      </c>
      <c r="F15" s="647">
        <f t="shared" si="0"/>
        <v>100</v>
      </c>
      <c r="G15" s="647"/>
      <c r="H15" s="647">
        <f t="shared" si="1"/>
        <v>97.560975609756099</v>
      </c>
      <c r="I15" s="647"/>
      <c r="J15" s="345"/>
      <c r="K15" s="77"/>
      <c r="L15" s="391"/>
      <c r="M15" s="391"/>
      <c r="N15" s="295"/>
      <c r="O15" s="295"/>
    </row>
    <row r="16" spans="1:15" s="120" customFormat="1">
      <c r="A16" s="8" t="s">
        <v>217</v>
      </c>
      <c r="B16" s="344">
        <v>83</v>
      </c>
      <c r="C16" s="344">
        <v>82</v>
      </c>
      <c r="D16" s="344">
        <v>81</v>
      </c>
      <c r="E16" s="344">
        <v>28</v>
      </c>
      <c r="F16" s="647">
        <f t="shared" si="0"/>
        <v>34.567901234567898</v>
      </c>
      <c r="G16" s="647"/>
      <c r="H16" s="647">
        <f t="shared" si="1"/>
        <v>33.734939759036145</v>
      </c>
      <c r="I16" s="647"/>
      <c r="J16" s="345"/>
      <c r="K16" s="77"/>
      <c r="L16" s="391"/>
      <c r="M16" s="391"/>
      <c r="N16" s="295"/>
      <c r="O16" s="295"/>
    </row>
    <row r="17" spans="1:17" s="120" customFormat="1">
      <c r="A17" s="8" t="s">
        <v>218</v>
      </c>
      <c r="B17" s="344">
        <v>47</v>
      </c>
      <c r="C17" s="344">
        <v>47</v>
      </c>
      <c r="D17" s="344">
        <v>42</v>
      </c>
      <c r="E17" s="344">
        <v>29</v>
      </c>
      <c r="F17" s="647">
        <f t="shared" si="0"/>
        <v>69.047619047619051</v>
      </c>
      <c r="G17" s="647"/>
      <c r="H17" s="647">
        <f t="shared" si="1"/>
        <v>61.702127659574465</v>
      </c>
      <c r="I17" s="647"/>
      <c r="J17" s="345"/>
      <c r="K17" s="346"/>
      <c r="L17" s="296"/>
      <c r="M17" s="391"/>
      <c r="N17" s="295"/>
      <c r="O17" s="295"/>
    </row>
    <row r="18" spans="1:17" s="120" customFormat="1" ht="37.5">
      <c r="A18" s="376" t="s">
        <v>203</v>
      </c>
      <c r="B18" s="343">
        <f>B19+B20+B21</f>
        <v>26968.6</v>
      </c>
      <c r="C18" s="343">
        <f>C19+C20+C21</f>
        <v>38783.5</v>
      </c>
      <c r="D18" s="343">
        <f>D19+D20+D21</f>
        <v>39346.5</v>
      </c>
      <c r="E18" s="343">
        <f>E19+E20+E21</f>
        <v>51664.5</v>
      </c>
      <c r="F18" s="647">
        <f t="shared" si="0"/>
        <v>131.30646944455034</v>
      </c>
      <c r="G18" s="647"/>
      <c r="H18" s="647">
        <f t="shared" si="1"/>
        <v>191.57279206187937</v>
      </c>
      <c r="I18" s="647"/>
      <c r="J18" s="359"/>
      <c r="K18" s="134"/>
      <c r="L18" s="146"/>
      <c r="M18" s="391"/>
      <c r="N18" s="295"/>
      <c r="O18" s="295"/>
    </row>
    <row r="19" spans="1:17" s="120" customFormat="1">
      <c r="A19" s="8" t="s">
        <v>194</v>
      </c>
      <c r="B19" s="344">
        <v>110</v>
      </c>
      <c r="C19" s="344">
        <v>209.5</v>
      </c>
      <c r="D19" s="344">
        <v>189.6</v>
      </c>
      <c r="E19" s="344">
        <v>159.6</v>
      </c>
      <c r="F19" s="647">
        <f t="shared" si="0"/>
        <v>84.177215189873422</v>
      </c>
      <c r="G19" s="647"/>
      <c r="H19" s="647">
        <f t="shared" si="1"/>
        <v>145.09090909090909</v>
      </c>
      <c r="I19" s="647"/>
      <c r="J19" s="77"/>
      <c r="K19" s="347"/>
      <c r="L19" s="142"/>
      <c r="M19" s="391"/>
      <c r="N19" s="295"/>
      <c r="O19" s="295"/>
    </row>
    <row r="20" spans="1:17" s="120" customFormat="1" ht="37.5">
      <c r="A20" s="8" t="s">
        <v>205</v>
      </c>
      <c r="B20" s="344">
        <v>467.5</v>
      </c>
      <c r="C20" s="344">
        <v>581.79999999999995</v>
      </c>
      <c r="D20" s="344">
        <v>622</v>
      </c>
      <c r="E20" s="344">
        <f>846.5+21.3</f>
        <v>867.8</v>
      </c>
      <c r="F20" s="647">
        <f t="shared" si="0"/>
        <v>139.51768488745978</v>
      </c>
      <c r="G20" s="647"/>
      <c r="H20" s="647">
        <f t="shared" si="1"/>
        <v>185.62566844919786</v>
      </c>
      <c r="I20" s="647"/>
      <c r="J20" s="77"/>
      <c r="K20" s="347"/>
      <c r="L20" s="391"/>
      <c r="M20" s="391"/>
      <c r="N20" s="295"/>
      <c r="O20" s="295"/>
    </row>
    <row r="21" spans="1:17" s="120" customFormat="1">
      <c r="A21" s="8" t="s">
        <v>195</v>
      </c>
      <c r="B21" s="344">
        <f>26391+0.1</f>
        <v>26391.1</v>
      </c>
      <c r="C21" s="344">
        <v>37992.199999999997</v>
      </c>
      <c r="D21" s="344">
        <v>38534.9</v>
      </c>
      <c r="E21" s="344">
        <f>50537.1+100</f>
        <v>50637.1</v>
      </c>
      <c r="F21" s="647">
        <f t="shared" si="0"/>
        <v>131.40581654552105</v>
      </c>
      <c r="G21" s="647"/>
      <c r="H21" s="647">
        <f t="shared" si="1"/>
        <v>191.87188105080878</v>
      </c>
      <c r="I21" s="647"/>
      <c r="J21" s="77"/>
      <c r="K21" s="347"/>
      <c r="L21" s="391"/>
      <c r="M21" s="391"/>
      <c r="N21" s="295"/>
      <c r="O21" s="295"/>
    </row>
    <row r="22" spans="1:17" s="120" customFormat="1" ht="37.5">
      <c r="A22" s="376" t="s">
        <v>204</v>
      </c>
      <c r="B22" s="343">
        <f>B23+B24+B25</f>
        <v>32248.199999999997</v>
      </c>
      <c r="C22" s="343">
        <f>C23+C24+C25</f>
        <v>46438.799999999996</v>
      </c>
      <c r="D22" s="343">
        <f>D23+D24+D25</f>
        <v>47103.7</v>
      </c>
      <c r="E22" s="343">
        <f>E23+E24+E25</f>
        <v>62685.1</v>
      </c>
      <c r="F22" s="647">
        <f t="shared" si="0"/>
        <v>133.07893010527835</v>
      </c>
      <c r="G22" s="647"/>
      <c r="H22" s="647">
        <f t="shared" si="1"/>
        <v>194.38325239858349</v>
      </c>
      <c r="I22" s="647"/>
      <c r="J22" s="348"/>
      <c r="K22" s="348"/>
      <c r="L22" s="391"/>
      <c r="M22" s="391"/>
      <c r="N22" s="295"/>
      <c r="O22" s="295"/>
    </row>
    <row r="23" spans="1:17" s="120" customFormat="1">
      <c r="A23" s="8" t="s">
        <v>194</v>
      </c>
      <c r="B23" s="344">
        <v>134.19999999999999</v>
      </c>
      <c r="C23" s="344">
        <v>250.4</v>
      </c>
      <c r="D23" s="344">
        <v>231.3</v>
      </c>
      <c r="E23" s="344">
        <v>194.7</v>
      </c>
      <c r="F23" s="647">
        <f t="shared" si="0"/>
        <v>84.176394293125796</v>
      </c>
      <c r="G23" s="647"/>
      <c r="H23" s="647">
        <f t="shared" si="1"/>
        <v>145.08196721311475</v>
      </c>
      <c r="I23" s="647"/>
      <c r="J23" s="21"/>
      <c r="K23" s="524"/>
      <c r="L23" s="391"/>
      <c r="M23" s="391"/>
      <c r="N23" s="295"/>
      <c r="O23" s="295"/>
    </row>
    <row r="24" spans="1:17" s="120" customFormat="1" ht="37.5">
      <c r="A24" s="8" t="s">
        <v>205</v>
      </c>
      <c r="B24" s="344">
        <v>570.4</v>
      </c>
      <c r="C24" s="344">
        <v>695.3</v>
      </c>
      <c r="D24" s="344">
        <v>758.8</v>
      </c>
      <c r="E24" s="344">
        <v>1008.7</v>
      </c>
      <c r="F24" s="647">
        <f t="shared" si="0"/>
        <v>132.93357933579338</v>
      </c>
      <c r="G24" s="647"/>
      <c r="H24" s="647">
        <f t="shared" si="1"/>
        <v>176.84081346423562</v>
      </c>
      <c r="I24" s="647"/>
      <c r="J24" s="77"/>
      <c r="K24" s="524"/>
      <c r="L24" s="391"/>
      <c r="M24" s="297"/>
      <c r="N24" s="295"/>
      <c r="O24" s="295"/>
    </row>
    <row r="25" spans="1:17" s="120" customFormat="1">
      <c r="A25" s="8" t="s">
        <v>195</v>
      </c>
      <c r="B25" s="344">
        <v>31543.599999999999</v>
      </c>
      <c r="C25" s="344">
        <v>45493.1</v>
      </c>
      <c r="D25" s="344">
        <v>46113.599999999999</v>
      </c>
      <c r="E25" s="344">
        <v>61481.7</v>
      </c>
      <c r="F25" s="647">
        <f t="shared" si="0"/>
        <v>133.32661080462162</v>
      </c>
      <c r="G25" s="647"/>
      <c r="H25" s="647">
        <f t="shared" si="1"/>
        <v>194.91021950570004</v>
      </c>
      <c r="I25" s="647"/>
      <c r="J25" s="348"/>
      <c r="K25" s="524"/>
      <c r="L25" s="391"/>
      <c r="M25" s="391"/>
      <c r="N25" s="295"/>
      <c r="O25" s="295"/>
    </row>
    <row r="26" spans="1:17" s="120" customFormat="1" ht="56.25">
      <c r="A26" s="376" t="s">
        <v>219</v>
      </c>
      <c r="B26" s="349">
        <f>B18/B11/10*1000</f>
        <v>4657.7892918825564</v>
      </c>
      <c r="C26" s="349">
        <f>C18/C11/12*1000</f>
        <v>5572.3419540229879</v>
      </c>
      <c r="D26" s="349">
        <f>D18/D11/12*1000</f>
        <v>5823.9342806394316</v>
      </c>
      <c r="E26" s="343">
        <v>45493.1</v>
      </c>
      <c r="F26" s="647">
        <f t="shared" si="0"/>
        <v>781.14033929320271</v>
      </c>
      <c r="G26" s="647"/>
      <c r="H26" s="647">
        <f t="shared" si="1"/>
        <v>976.71013326609466</v>
      </c>
      <c r="I26" s="647"/>
      <c r="J26" s="134"/>
      <c r="K26" s="134"/>
      <c r="L26" s="146"/>
      <c r="M26" s="391"/>
      <c r="N26" s="295"/>
      <c r="O26" s="295"/>
    </row>
    <row r="27" spans="1:17" s="120" customFormat="1">
      <c r="A27" s="8" t="s">
        <v>194</v>
      </c>
      <c r="B27" s="350">
        <f>B19/1/12*1000</f>
        <v>9166.6666666666661</v>
      </c>
      <c r="C27" s="350">
        <f>C19/1/12*1000</f>
        <v>17458.333333333332</v>
      </c>
      <c r="D27" s="350">
        <f>D19/1/12*1000</f>
        <v>15799.999999999998</v>
      </c>
      <c r="E27" s="351">
        <f>E19/1/12*1000</f>
        <v>13299.999999999998</v>
      </c>
      <c r="F27" s="647">
        <f t="shared" si="0"/>
        <v>84.177215189873408</v>
      </c>
      <c r="G27" s="647"/>
      <c r="H27" s="647">
        <f t="shared" si="1"/>
        <v>145.09090909090907</v>
      </c>
      <c r="I27" s="647"/>
      <c r="J27" s="77"/>
      <c r="K27" s="77"/>
      <c r="L27" s="391"/>
      <c r="M27" s="391"/>
      <c r="N27" s="295"/>
      <c r="O27" s="295"/>
    </row>
    <row r="28" spans="1:17" s="120" customFormat="1" ht="37.5">
      <c r="A28" s="8" t="s">
        <v>205</v>
      </c>
      <c r="B28" s="350">
        <f>B20/11/10*1000</f>
        <v>4250</v>
      </c>
      <c r="C28" s="350">
        <v>12121</v>
      </c>
      <c r="D28" s="350">
        <f>D20/11/12*1000</f>
        <v>4712.121212121212</v>
      </c>
      <c r="E28" s="351">
        <f>E20/11/12*1000</f>
        <v>6574.242424242424</v>
      </c>
      <c r="F28" s="647">
        <f t="shared" si="0"/>
        <v>139.51768488745981</v>
      </c>
      <c r="G28" s="647"/>
      <c r="H28" s="647">
        <f t="shared" si="1"/>
        <v>154.68805704099822</v>
      </c>
      <c r="I28" s="647"/>
      <c r="J28" s="77"/>
      <c r="K28" s="77"/>
      <c r="L28" s="391"/>
      <c r="M28" s="391"/>
      <c r="N28" s="295"/>
      <c r="O28" s="295"/>
    </row>
    <row r="29" spans="1:17" s="120" customFormat="1">
      <c r="A29" s="8" t="s">
        <v>195</v>
      </c>
      <c r="B29" s="350">
        <f>B21/551/10*1000</f>
        <v>4789.6733212341196</v>
      </c>
      <c r="C29" s="350">
        <v>5506</v>
      </c>
      <c r="D29" s="350">
        <f>D21/551/12*1000</f>
        <v>5828.0248033877806</v>
      </c>
      <c r="E29" s="351">
        <f>E21/551/12*1000</f>
        <v>7658.3635813672108</v>
      </c>
      <c r="F29" s="647">
        <f t="shared" si="0"/>
        <v>131.40581654552105</v>
      </c>
      <c r="G29" s="647"/>
      <c r="H29" s="647">
        <f t="shared" si="1"/>
        <v>159.89323420900732</v>
      </c>
      <c r="I29" s="647"/>
      <c r="J29" s="77"/>
      <c r="K29" s="77"/>
      <c r="L29" s="391"/>
      <c r="M29" s="391"/>
      <c r="N29" s="295"/>
      <c r="O29" s="295"/>
    </row>
    <row r="30" spans="1:17" s="120" customFormat="1" ht="37.5">
      <c r="A30" s="376" t="s">
        <v>220</v>
      </c>
      <c r="B30" s="343"/>
      <c r="C30" s="349">
        <f>SUM(C31:C33)</f>
        <v>0</v>
      </c>
      <c r="D30" s="349">
        <f>SUM(D31:D33)</f>
        <v>0</v>
      </c>
      <c r="E30" s="349">
        <f>SUM(E31:E33)</f>
        <v>0</v>
      </c>
      <c r="F30" s="653" t="e">
        <f t="shared" si="0"/>
        <v>#DIV/0!</v>
      </c>
      <c r="G30" s="653"/>
      <c r="H30" s="653" t="e">
        <f t="shared" si="1"/>
        <v>#DIV/0!</v>
      </c>
      <c r="I30" s="653"/>
      <c r="J30" s="77"/>
      <c r="K30" s="77"/>
      <c r="L30" s="391"/>
      <c r="M30" s="391"/>
      <c r="N30" s="295"/>
      <c r="O30" s="295"/>
      <c r="Q30" s="390"/>
    </row>
    <row r="31" spans="1:17" s="120" customFormat="1">
      <c r="A31" s="8" t="s">
        <v>194</v>
      </c>
      <c r="B31" s="352"/>
      <c r="C31" s="353"/>
      <c r="D31" s="353"/>
      <c r="E31" s="353"/>
      <c r="F31" s="653" t="e">
        <f t="shared" si="0"/>
        <v>#DIV/0!</v>
      </c>
      <c r="G31" s="653"/>
      <c r="H31" s="653" t="e">
        <f t="shared" si="1"/>
        <v>#DIV/0!</v>
      </c>
      <c r="I31" s="653"/>
      <c r="J31" s="77"/>
      <c r="K31" s="77"/>
      <c r="L31" s="391"/>
      <c r="M31" s="391"/>
      <c r="N31" s="295"/>
      <c r="O31" s="295"/>
    </row>
    <row r="32" spans="1:17" s="120" customFormat="1" ht="37.5">
      <c r="A32" s="8" t="s">
        <v>205</v>
      </c>
      <c r="B32" s="352"/>
      <c r="C32" s="353"/>
      <c r="D32" s="353"/>
      <c r="E32" s="353"/>
      <c r="F32" s="653" t="e">
        <f t="shared" si="0"/>
        <v>#DIV/0!</v>
      </c>
      <c r="G32" s="653"/>
      <c r="H32" s="653" t="e">
        <f t="shared" si="1"/>
        <v>#DIV/0!</v>
      </c>
      <c r="I32" s="653"/>
      <c r="J32" s="77"/>
      <c r="K32" s="77"/>
      <c r="L32" s="391"/>
      <c r="M32" s="391"/>
      <c r="N32" s="295"/>
      <c r="O32" s="295"/>
    </row>
    <row r="33" spans="1:16" s="120" customFormat="1">
      <c r="A33" s="8" t="s">
        <v>195</v>
      </c>
      <c r="B33" s="352"/>
      <c r="C33" s="353"/>
      <c r="D33" s="353"/>
      <c r="E33" s="353"/>
      <c r="F33" s="653" t="e">
        <f t="shared" si="0"/>
        <v>#DIV/0!</v>
      </c>
      <c r="G33" s="653"/>
      <c r="H33" s="653" t="e">
        <f t="shared" si="1"/>
        <v>#DIV/0!</v>
      </c>
      <c r="I33" s="653"/>
      <c r="J33" s="77"/>
      <c r="K33" s="77"/>
      <c r="L33" s="391"/>
      <c r="M33" s="391"/>
      <c r="N33" s="295"/>
      <c r="O33" s="295"/>
    </row>
    <row r="34" spans="1:16">
      <c r="A34" s="354"/>
      <c r="B34" s="354"/>
      <c r="C34" s="354"/>
      <c r="D34" s="354"/>
      <c r="E34" s="354"/>
      <c r="F34" s="20"/>
      <c r="G34" s="20"/>
      <c r="H34" s="20"/>
      <c r="I34" s="20"/>
      <c r="J34" s="20"/>
      <c r="K34" s="20"/>
      <c r="L34" s="149"/>
      <c r="M34" s="149"/>
      <c r="N34" s="149"/>
      <c r="O34" s="149"/>
    </row>
    <row r="35" spans="1:16" ht="15" customHeight="1">
      <c r="A35" s="20"/>
      <c r="B35" s="20"/>
      <c r="C35" s="20"/>
      <c r="D35" s="20"/>
      <c r="E35" s="20"/>
      <c r="F35" s="20"/>
      <c r="G35" s="20"/>
      <c r="H35" s="20"/>
      <c r="I35" s="20"/>
      <c r="J35" s="2"/>
      <c r="K35" s="2"/>
    </row>
    <row r="36" spans="1:16" ht="20.100000000000001" customHeight="1">
      <c r="A36" s="54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382"/>
      <c r="M36" s="382"/>
      <c r="N36" s="382"/>
      <c r="O36" s="382"/>
    </row>
    <row r="37" spans="1:16" ht="21.95" customHeight="1">
      <c r="A37" s="29" t="s">
        <v>263</v>
      </c>
      <c r="B37" s="29"/>
      <c r="C37" s="29"/>
      <c r="D37" s="29"/>
      <c r="E37" s="29"/>
      <c r="F37" s="29"/>
      <c r="G37" s="29"/>
      <c r="H37" s="29"/>
      <c r="I37" s="29"/>
      <c r="J37" s="29"/>
      <c r="K37" s="2"/>
    </row>
    <row r="38" spans="1:16" ht="20.100000000000001" customHeight="1">
      <c r="A38" s="355"/>
      <c r="B38" s="356"/>
      <c r="C38" s="356"/>
      <c r="D38" s="356"/>
      <c r="E38" s="2"/>
      <c r="F38" s="2"/>
      <c r="G38" s="2"/>
      <c r="H38" s="2"/>
      <c r="I38" s="2"/>
      <c r="J38" s="2"/>
      <c r="K38" s="2"/>
    </row>
    <row r="39" spans="1:16" ht="71.25" customHeight="1">
      <c r="A39" s="556" t="s">
        <v>196</v>
      </c>
      <c r="B39" s="650" t="s">
        <v>221</v>
      </c>
      <c r="C39" s="651"/>
      <c r="D39" s="650" t="s">
        <v>416</v>
      </c>
      <c r="E39" s="651"/>
      <c r="F39" s="650" t="s">
        <v>417</v>
      </c>
      <c r="G39" s="655"/>
      <c r="H39" s="650" t="s">
        <v>286</v>
      </c>
      <c r="I39" s="651"/>
      <c r="J39" s="650" t="s">
        <v>418</v>
      </c>
      <c r="K39" s="651"/>
      <c r="M39" s="390"/>
      <c r="N39" s="390"/>
      <c r="O39" s="390"/>
    </row>
    <row r="40" spans="1:16" ht="163.69999999999999" customHeight="1">
      <c r="A40" s="556"/>
      <c r="B40" s="372" t="s">
        <v>62</v>
      </c>
      <c r="C40" s="372" t="s">
        <v>63</v>
      </c>
      <c r="D40" s="372" t="s">
        <v>222</v>
      </c>
      <c r="E40" s="372" t="s">
        <v>376</v>
      </c>
      <c r="F40" s="372" t="s">
        <v>222</v>
      </c>
      <c r="G40" s="372" t="s">
        <v>376</v>
      </c>
      <c r="H40" s="372" t="s">
        <v>222</v>
      </c>
      <c r="I40" s="372" t="s">
        <v>376</v>
      </c>
      <c r="J40" s="372" t="s">
        <v>222</v>
      </c>
      <c r="K40" s="372" t="s">
        <v>376</v>
      </c>
      <c r="L40" s="298"/>
      <c r="M40" s="390"/>
      <c r="N40" s="390"/>
    </row>
    <row r="41" spans="1:16" ht="18" customHeight="1">
      <c r="A41" s="372">
        <v>1</v>
      </c>
      <c r="B41" s="372">
        <v>2</v>
      </c>
      <c r="C41" s="372">
        <v>3</v>
      </c>
      <c r="D41" s="372">
        <v>4</v>
      </c>
      <c r="E41" s="372">
        <v>5</v>
      </c>
      <c r="F41" s="372">
        <v>6</v>
      </c>
      <c r="G41" s="372">
        <v>7</v>
      </c>
      <c r="H41" s="372">
        <v>8</v>
      </c>
      <c r="I41" s="372">
        <v>9</v>
      </c>
      <c r="J41" s="372">
        <v>10</v>
      </c>
      <c r="K41" s="372">
        <v>11</v>
      </c>
      <c r="L41" s="382"/>
      <c r="M41" s="382"/>
      <c r="N41" s="382"/>
      <c r="O41" s="382"/>
    </row>
    <row r="42" spans="1:16" ht="56.25">
      <c r="A42" s="200" t="s">
        <v>318</v>
      </c>
      <c r="B42" s="357">
        <f>D42/$D$59*100</f>
        <v>0</v>
      </c>
      <c r="C42" s="358">
        <f>J42/J59*100</f>
        <v>44.380316470126083</v>
      </c>
      <c r="D42" s="372"/>
      <c r="E42" s="372"/>
      <c r="F42" s="372"/>
      <c r="G42" s="372"/>
      <c r="H42" s="372"/>
      <c r="I42" s="372"/>
      <c r="J42" s="372">
        <f>'[50]1.Фінансовий результат'!F13</f>
        <v>41462</v>
      </c>
      <c r="K42" s="372">
        <v>207293</v>
      </c>
      <c r="L42" s="382"/>
      <c r="M42" s="382"/>
      <c r="N42" s="382"/>
      <c r="O42" s="382"/>
    </row>
    <row r="43" spans="1:16" ht="56.25">
      <c r="A43" s="118" t="s">
        <v>377</v>
      </c>
      <c r="B43" s="299">
        <f t="shared" ref="B43:B58" si="2">D43/$D$59*100</f>
        <v>40.865587681910689</v>
      </c>
      <c r="C43" s="123">
        <f>J43/J59*100</f>
        <v>9.595469272983582</v>
      </c>
      <c r="D43" s="385">
        <f>'[50]1.Фінансовий результат'!C24</f>
        <v>17028.2</v>
      </c>
      <c r="E43" s="385">
        <v>358527</v>
      </c>
      <c r="F43" s="385">
        <f>'[50]1.Фінансовий результат'!E24</f>
        <v>26660.400000000001</v>
      </c>
      <c r="G43" s="385">
        <v>357043</v>
      </c>
      <c r="H43" s="385">
        <v>6806</v>
      </c>
      <c r="I43" s="385">
        <v>76760</v>
      </c>
      <c r="J43" s="385">
        <f>'[50]1.Фінансовий результат'!F24</f>
        <v>8964.5</v>
      </c>
      <c r="K43" s="385">
        <v>207293</v>
      </c>
      <c r="L43" s="300"/>
      <c r="M43" s="382"/>
      <c r="N43" s="382"/>
      <c r="O43" s="301"/>
      <c r="P43" s="302"/>
    </row>
    <row r="44" spans="1:16" ht="27.2" customHeight="1">
      <c r="A44" s="118" t="s">
        <v>325</v>
      </c>
      <c r="B44" s="299">
        <f t="shared" si="2"/>
        <v>0</v>
      </c>
      <c r="C44" s="123">
        <f>J44/J59*100</f>
        <v>0</v>
      </c>
      <c r="D44" s="112"/>
      <c r="E44" s="392"/>
      <c r="F44" s="112"/>
      <c r="G44" s="392"/>
      <c r="H44" s="112"/>
      <c r="I44" s="392"/>
      <c r="J44" s="112"/>
      <c r="K44" s="392"/>
      <c r="M44" s="303"/>
      <c r="N44" s="304"/>
      <c r="O44" s="142"/>
    </row>
    <row r="45" spans="1:16" ht="150">
      <c r="A45" s="118" t="s">
        <v>319</v>
      </c>
      <c r="B45" s="299">
        <f t="shared" si="2"/>
        <v>0</v>
      </c>
      <c r="C45" s="123">
        <f>J45/J59*100</f>
        <v>0</v>
      </c>
      <c r="D45" s="385"/>
      <c r="E45" s="385"/>
      <c r="F45" s="385"/>
      <c r="G45" s="385"/>
      <c r="H45" s="385"/>
      <c r="I45" s="385"/>
      <c r="J45" s="385"/>
      <c r="K45" s="385"/>
      <c r="L45" s="300"/>
      <c r="M45" s="382"/>
      <c r="N45" s="382"/>
      <c r="O45" s="301"/>
      <c r="P45" s="302"/>
    </row>
    <row r="46" spans="1:16" ht="112.5">
      <c r="A46" s="118" t="s">
        <v>320</v>
      </c>
      <c r="B46" s="299">
        <f t="shared" si="2"/>
        <v>0</v>
      </c>
      <c r="C46" s="123">
        <f>J46/J59*100</f>
        <v>0</v>
      </c>
      <c r="D46" s="385"/>
      <c r="E46" s="385"/>
      <c r="F46" s="385"/>
      <c r="G46" s="385"/>
      <c r="H46" s="385"/>
      <c r="I46" s="385"/>
      <c r="J46" s="385"/>
      <c r="K46" s="385"/>
      <c r="L46" s="300"/>
      <c r="M46" s="382"/>
      <c r="N46" s="382"/>
      <c r="O46" s="301"/>
      <c r="P46" s="302"/>
    </row>
    <row r="47" spans="1:16" ht="93.75">
      <c r="A47" s="118" t="s">
        <v>378</v>
      </c>
      <c r="B47" s="299">
        <f t="shared" si="2"/>
        <v>4.3684963329877506</v>
      </c>
      <c r="C47" s="123">
        <f>J47/J59*100</f>
        <v>4.6131466866757362</v>
      </c>
      <c r="D47" s="385">
        <f>'[50]1.Фінансовий результат'!C15</f>
        <v>1820.3</v>
      </c>
      <c r="E47" s="385">
        <v>358527</v>
      </c>
      <c r="F47" s="385">
        <f>'[50]1.Фінансовий результат'!E15</f>
        <v>4299.6000000000004</v>
      </c>
      <c r="G47" s="385">
        <v>357043</v>
      </c>
      <c r="H47" s="385">
        <v>306.10000000000002</v>
      </c>
      <c r="I47" s="385">
        <v>76760</v>
      </c>
      <c r="J47" s="385">
        <f>'[50]1.Фінансовий результат'!F15</f>
        <v>4309.8</v>
      </c>
      <c r="K47" s="385">
        <v>207293</v>
      </c>
      <c r="M47" s="382"/>
      <c r="N47" s="382"/>
      <c r="O47" s="305"/>
      <c r="P47" s="306"/>
    </row>
    <row r="48" spans="1:16" ht="75">
      <c r="A48" s="118" t="s">
        <v>379</v>
      </c>
      <c r="B48" s="299">
        <f>D48/$D$59*100</f>
        <v>0</v>
      </c>
      <c r="C48" s="123">
        <f>J48/J58*100</f>
        <v>0</v>
      </c>
      <c r="D48" s="271">
        <f>SUM(D49:D55)</f>
        <v>0</v>
      </c>
      <c r="E48" s="385"/>
      <c r="F48" s="271">
        <f>SUM(F49:F55)</f>
        <v>0</v>
      </c>
      <c r="G48" s="385"/>
      <c r="H48" s="271">
        <f>SUM(H49:H55)</f>
        <v>0</v>
      </c>
      <c r="I48" s="385"/>
      <c r="J48" s="271">
        <f>SUM(J49:J55)</f>
        <v>0</v>
      </c>
      <c r="K48" s="385"/>
      <c r="L48" s="306"/>
      <c r="M48" s="382"/>
      <c r="N48" s="382"/>
      <c r="O48" s="305"/>
      <c r="P48" s="306"/>
    </row>
    <row r="49" spans="1:16" s="314" customFormat="1" ht="93.75">
      <c r="A49" s="307" t="s">
        <v>380</v>
      </c>
      <c r="B49" s="308">
        <f t="shared" si="2"/>
        <v>0</v>
      </c>
      <c r="C49" s="309">
        <f>J49/J59*100</f>
        <v>0</v>
      </c>
      <c r="D49" s="310"/>
      <c r="E49" s="310"/>
      <c r="F49" s="310"/>
      <c r="G49" s="310"/>
      <c r="H49" s="310"/>
      <c r="I49" s="310"/>
      <c r="J49" s="310"/>
      <c r="K49" s="310"/>
      <c r="L49" s="311"/>
      <c r="M49" s="312"/>
      <c r="N49" s="312"/>
      <c r="O49" s="313"/>
      <c r="P49" s="311"/>
    </row>
    <row r="50" spans="1:16" s="314" customFormat="1" ht="112.5">
      <c r="A50" s="307" t="s">
        <v>381</v>
      </c>
      <c r="B50" s="308">
        <f t="shared" si="2"/>
        <v>0</v>
      </c>
      <c r="C50" s="309">
        <f>J50/J59*100</f>
        <v>0</v>
      </c>
      <c r="D50" s="310"/>
      <c r="E50" s="310"/>
      <c r="F50" s="310"/>
      <c r="G50" s="310"/>
      <c r="H50" s="310"/>
      <c r="I50" s="310"/>
      <c r="J50" s="310"/>
      <c r="K50" s="310"/>
      <c r="L50" s="311"/>
      <c r="M50" s="312"/>
      <c r="N50" s="312"/>
      <c r="O50" s="313"/>
      <c r="P50" s="311"/>
    </row>
    <row r="51" spans="1:16" s="314" customFormat="1" ht="112.5">
      <c r="A51" s="307" t="s">
        <v>382</v>
      </c>
      <c r="B51" s="308">
        <f t="shared" si="2"/>
        <v>0</v>
      </c>
      <c r="C51" s="309">
        <f>J51/J59*100</f>
        <v>0</v>
      </c>
      <c r="D51" s="310"/>
      <c r="E51" s="310"/>
      <c r="F51" s="310"/>
      <c r="G51" s="310"/>
      <c r="H51" s="310"/>
      <c r="I51" s="310"/>
      <c r="J51" s="310"/>
      <c r="K51" s="310"/>
      <c r="L51" s="311"/>
      <c r="M51" s="312"/>
      <c r="N51" s="312"/>
      <c r="O51" s="313"/>
      <c r="P51" s="311"/>
    </row>
    <row r="52" spans="1:16" s="314" customFormat="1" ht="37.5">
      <c r="A52" s="307" t="s">
        <v>383</v>
      </c>
      <c r="B52" s="308">
        <f t="shared" si="2"/>
        <v>0</v>
      </c>
      <c r="C52" s="309">
        <f>J52/J59*100</f>
        <v>0</v>
      </c>
      <c r="D52" s="310"/>
      <c r="E52" s="310"/>
      <c r="F52" s="310"/>
      <c r="G52" s="310"/>
      <c r="H52" s="310"/>
      <c r="I52" s="310"/>
      <c r="J52" s="310"/>
      <c r="K52" s="310"/>
      <c r="L52" s="311"/>
      <c r="M52" s="312"/>
      <c r="N52" s="312"/>
      <c r="O52" s="313"/>
      <c r="P52" s="311"/>
    </row>
    <row r="53" spans="1:16" s="314" customFormat="1" ht="93.75">
      <c r="A53" s="307" t="s">
        <v>384</v>
      </c>
      <c r="B53" s="308">
        <f t="shared" si="2"/>
        <v>0</v>
      </c>
      <c r="C53" s="309">
        <f>J53/J59*100</f>
        <v>0</v>
      </c>
      <c r="D53" s="310"/>
      <c r="E53" s="310"/>
      <c r="F53" s="310"/>
      <c r="G53" s="310"/>
      <c r="H53" s="310"/>
      <c r="I53" s="310"/>
      <c r="J53" s="310"/>
      <c r="K53" s="310"/>
      <c r="L53" s="311"/>
      <c r="M53" s="312"/>
      <c r="N53" s="312"/>
      <c r="O53" s="313"/>
      <c r="P53" s="311"/>
    </row>
    <row r="54" spans="1:16" s="314" customFormat="1" ht="37.5">
      <c r="A54" s="307" t="s">
        <v>386</v>
      </c>
      <c r="B54" s="308">
        <f t="shared" si="2"/>
        <v>0</v>
      </c>
      <c r="C54" s="309">
        <f>J54/J59*100</f>
        <v>0</v>
      </c>
      <c r="D54" s="310"/>
      <c r="E54" s="310"/>
      <c r="F54" s="310"/>
      <c r="G54" s="310"/>
      <c r="H54" s="310"/>
      <c r="I54" s="310"/>
      <c r="J54" s="310"/>
      <c r="K54" s="310"/>
      <c r="L54" s="311"/>
      <c r="M54" s="312"/>
      <c r="N54" s="312"/>
      <c r="O54" s="313"/>
      <c r="P54" s="311"/>
    </row>
    <row r="55" spans="1:16" s="314" customFormat="1" ht="168.75">
      <c r="A55" s="307" t="s">
        <v>385</v>
      </c>
      <c r="B55" s="308">
        <f t="shared" si="2"/>
        <v>0</v>
      </c>
      <c r="C55" s="309">
        <f>J55/J59*100</f>
        <v>0</v>
      </c>
      <c r="D55" s="310"/>
      <c r="E55" s="310"/>
      <c r="F55" s="310"/>
      <c r="G55" s="310"/>
      <c r="H55" s="310"/>
      <c r="I55" s="310"/>
      <c r="J55" s="310"/>
      <c r="K55" s="310"/>
      <c r="L55" s="311"/>
      <c r="M55" s="312"/>
      <c r="N55" s="312"/>
      <c r="O55" s="313"/>
      <c r="P55" s="311"/>
    </row>
    <row r="56" spans="1:16" ht="112.5">
      <c r="A56" s="118" t="s">
        <v>322</v>
      </c>
      <c r="B56" s="299">
        <f t="shared" si="2"/>
        <v>0</v>
      </c>
      <c r="C56" s="123">
        <f>J56/J59*100</f>
        <v>0</v>
      </c>
      <c r="D56" s="385"/>
      <c r="E56" s="385"/>
      <c r="F56" s="385"/>
      <c r="G56" s="385"/>
      <c r="H56" s="385"/>
      <c r="I56" s="385"/>
      <c r="J56" s="385"/>
      <c r="K56" s="385"/>
      <c r="M56" s="382"/>
      <c r="N56" s="382"/>
      <c r="O56" s="305"/>
      <c r="P56" s="306"/>
    </row>
    <row r="57" spans="1:16" ht="93.75">
      <c r="A57" s="118" t="s">
        <v>323</v>
      </c>
      <c r="B57" s="299">
        <f t="shared" si="2"/>
        <v>0</v>
      </c>
      <c r="C57" s="123">
        <f>F57/$F$59*100</f>
        <v>0</v>
      </c>
      <c r="D57" s="385"/>
      <c r="E57" s="385"/>
      <c r="F57" s="385"/>
      <c r="G57" s="385"/>
      <c r="H57" s="385"/>
      <c r="I57" s="385"/>
      <c r="J57" s="385"/>
      <c r="K57" s="385"/>
      <c r="M57" s="382"/>
      <c r="N57" s="382"/>
      <c r="O57" s="305"/>
      <c r="P57" s="306"/>
    </row>
    <row r="58" spans="1:16" ht="112.5">
      <c r="A58" s="118" t="s">
        <v>324</v>
      </c>
      <c r="B58" s="299">
        <f t="shared" si="2"/>
        <v>54.765915985101557</v>
      </c>
      <c r="C58" s="123">
        <f>F58/$F$59*100</f>
        <v>47.738544174096816</v>
      </c>
      <c r="D58" s="385">
        <f>'[50]1.Фінансовий результат'!C29</f>
        <v>22820.3</v>
      </c>
      <c r="E58" s="385">
        <v>358527</v>
      </c>
      <c r="F58" s="385">
        <f>'[50]1.Фінансовий результат'!E29</f>
        <v>28280.6</v>
      </c>
      <c r="G58" s="385">
        <v>357043</v>
      </c>
      <c r="H58" s="385">
        <v>8453</v>
      </c>
      <c r="I58" s="385">
        <v>76760</v>
      </c>
      <c r="J58" s="385">
        <f>'[50]1.Фінансовий результат'!F29</f>
        <v>38688</v>
      </c>
      <c r="K58" s="385">
        <v>207293</v>
      </c>
      <c r="M58" s="382"/>
      <c r="N58" s="382"/>
      <c r="O58" s="382"/>
    </row>
    <row r="59" spans="1:16" s="124" customFormat="1">
      <c r="A59" s="422" t="s">
        <v>45</v>
      </c>
      <c r="B59" s="315">
        <f>SUM(B42:B48,B56:B58)</f>
        <v>100</v>
      </c>
      <c r="C59" s="316">
        <f>SUM(C42:C48,C56:C58)</f>
        <v>106.32747660388222</v>
      </c>
      <c r="D59" s="316">
        <f>SUM(D42:D48,D56:D58)</f>
        <v>41668.800000000003</v>
      </c>
      <c r="E59" s="316"/>
      <c r="F59" s="316">
        <f>SUM(F42:F48,F56:F58)</f>
        <v>59240.6</v>
      </c>
      <c r="G59" s="316"/>
      <c r="H59" s="316">
        <f>SUM(H42:H48,H56:H58)</f>
        <v>15565.1</v>
      </c>
      <c r="I59" s="316"/>
      <c r="J59" s="316">
        <f>SUM(J42:J48,J56:J58)</f>
        <v>93424.3</v>
      </c>
      <c r="K59" s="316"/>
      <c r="M59" s="317"/>
      <c r="N59" s="317"/>
      <c r="O59" s="317"/>
    </row>
    <row r="60" spans="1:16" ht="20.100000000000001" customHeight="1">
      <c r="A60" s="152"/>
      <c r="B60" s="153"/>
      <c r="C60" s="153"/>
      <c r="D60" s="153"/>
      <c r="E60" s="153"/>
      <c r="F60" s="153"/>
      <c r="G60" s="153"/>
      <c r="H60" s="135"/>
      <c r="I60" s="135"/>
      <c r="J60" s="117"/>
      <c r="K60" s="117"/>
      <c r="M60" s="117"/>
      <c r="N60" s="117"/>
      <c r="O60" s="117"/>
    </row>
    <row r="61" spans="1:16" ht="21.95" customHeight="1">
      <c r="A61" s="117" t="s">
        <v>241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M61" s="117"/>
      <c r="N61" s="117"/>
      <c r="O61" s="117"/>
    </row>
    <row r="62" spans="1:16" ht="20.100000000000001" customHeight="1">
      <c r="A62" s="150"/>
    </row>
    <row r="63" spans="1:16" ht="81.75" customHeight="1">
      <c r="A63" s="385" t="s">
        <v>112</v>
      </c>
      <c r="B63" s="595" t="s">
        <v>60</v>
      </c>
      <c r="C63" s="596"/>
      <c r="D63" s="597"/>
      <c r="E63" s="385" t="s">
        <v>245</v>
      </c>
      <c r="F63" s="385" t="s">
        <v>56</v>
      </c>
      <c r="G63" s="385" t="s">
        <v>223</v>
      </c>
      <c r="H63" s="385" t="s">
        <v>76</v>
      </c>
      <c r="I63" s="595" t="s">
        <v>23</v>
      </c>
      <c r="J63" s="609"/>
      <c r="K63" s="597"/>
      <c r="L63" s="390"/>
      <c r="M63" s="390"/>
      <c r="N63" s="390"/>
      <c r="O63" s="390"/>
    </row>
    <row r="64" spans="1:16" ht="18" customHeight="1">
      <c r="A64" s="387">
        <v>1</v>
      </c>
      <c r="B64" s="595">
        <v>2</v>
      </c>
      <c r="C64" s="596"/>
      <c r="D64" s="597"/>
      <c r="E64" s="387">
        <v>3</v>
      </c>
      <c r="F64" s="387">
        <v>4</v>
      </c>
      <c r="G64" s="387">
        <v>5</v>
      </c>
      <c r="H64" s="154">
        <v>6</v>
      </c>
      <c r="I64" s="595">
        <v>7</v>
      </c>
      <c r="J64" s="609"/>
      <c r="K64" s="614"/>
      <c r="L64" s="382"/>
      <c r="M64" s="382"/>
      <c r="N64" s="382"/>
      <c r="O64" s="382"/>
    </row>
    <row r="65" spans="1:15" ht="20.100000000000001" customHeight="1">
      <c r="A65" s="121"/>
      <c r="B65" s="610"/>
      <c r="C65" s="611"/>
      <c r="D65" s="597"/>
      <c r="E65" s="392"/>
      <c r="F65" s="392"/>
      <c r="G65" s="392"/>
      <c r="H65" s="112"/>
      <c r="I65" s="595"/>
      <c r="J65" s="609"/>
      <c r="K65" s="597"/>
      <c r="L65" s="142"/>
      <c r="M65" s="142"/>
      <c r="N65" s="142"/>
      <c r="O65" s="142"/>
    </row>
    <row r="66" spans="1:15" ht="20.100000000000001" customHeight="1">
      <c r="A66" s="121"/>
      <c r="B66" s="610"/>
      <c r="C66" s="611"/>
      <c r="D66" s="597"/>
      <c r="E66" s="155"/>
      <c r="F66" s="392"/>
      <c r="G66" s="155"/>
      <c r="H66" s="156"/>
      <c r="I66" s="595"/>
      <c r="J66" s="609"/>
      <c r="K66" s="597"/>
      <c r="L66" s="142"/>
      <c r="M66" s="142"/>
      <c r="N66" s="142"/>
      <c r="O66" s="142"/>
    </row>
    <row r="67" spans="1:15" ht="20.100000000000001" customHeight="1">
      <c r="A67" s="121"/>
      <c r="B67" s="610"/>
      <c r="C67" s="611"/>
      <c r="D67" s="597"/>
      <c r="E67" s="392"/>
      <c r="F67" s="392"/>
      <c r="G67" s="392"/>
      <c r="H67" s="112"/>
      <c r="I67" s="595"/>
      <c r="J67" s="609"/>
      <c r="K67" s="597"/>
      <c r="L67" s="142"/>
      <c r="M67" s="142"/>
      <c r="N67" s="142"/>
      <c r="O67" s="142"/>
    </row>
    <row r="68" spans="1:15" ht="20.100000000000001" customHeight="1">
      <c r="A68" s="121" t="s">
        <v>45</v>
      </c>
      <c r="B68" s="595" t="s">
        <v>24</v>
      </c>
      <c r="C68" s="596"/>
      <c r="D68" s="597"/>
      <c r="E68" s="385"/>
      <c r="F68" s="385" t="s">
        <v>24</v>
      </c>
      <c r="G68" s="385" t="s">
        <v>24</v>
      </c>
      <c r="H68" s="385"/>
      <c r="I68" s="595" t="s">
        <v>24</v>
      </c>
      <c r="J68" s="609"/>
      <c r="K68" s="597"/>
      <c r="L68" s="142"/>
      <c r="M68" s="142"/>
      <c r="N68" s="142"/>
      <c r="O68" s="142"/>
    </row>
    <row r="69" spans="1:15" ht="20.100000000000001" customHeight="1">
      <c r="A69" s="135"/>
      <c r="B69" s="382"/>
      <c r="C69" s="382"/>
      <c r="D69" s="382"/>
      <c r="E69" s="382"/>
      <c r="F69" s="382"/>
      <c r="G69" s="382"/>
      <c r="H69" s="382"/>
      <c r="I69" s="382"/>
      <c r="J69" s="382"/>
      <c r="K69" s="120"/>
      <c r="L69" s="120"/>
      <c r="M69" s="120"/>
      <c r="N69" s="120"/>
      <c r="O69" s="120"/>
    </row>
    <row r="70" spans="1:15" ht="21.95" customHeight="1">
      <c r="A70" s="117" t="s">
        <v>242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</row>
    <row r="71" spans="1:15" ht="20.100000000000001" customHeight="1">
      <c r="A71" s="117"/>
      <c r="B71" s="157"/>
      <c r="C71" s="157"/>
      <c r="D71" s="157"/>
      <c r="E71" s="117"/>
      <c r="F71" s="117"/>
      <c r="G71" s="117"/>
      <c r="H71" s="117"/>
      <c r="I71" s="117"/>
    </row>
    <row r="72" spans="1:15" ht="82.5" customHeight="1">
      <c r="A72" s="385" t="s">
        <v>55</v>
      </c>
      <c r="B72" s="595" t="s">
        <v>246</v>
      </c>
      <c r="C72" s="596"/>
      <c r="D72" s="597"/>
      <c r="E72" s="586" t="s">
        <v>233</v>
      </c>
      <c r="F72" s="588"/>
      <c r="G72" s="605" t="s">
        <v>232</v>
      </c>
      <c r="H72" s="605"/>
      <c r="I72" s="586" t="s">
        <v>77</v>
      </c>
      <c r="J72" s="646"/>
      <c r="K72" s="588"/>
      <c r="L72" s="390"/>
      <c r="M72" s="390"/>
      <c r="N72" s="390"/>
      <c r="O72" s="390"/>
    </row>
    <row r="73" spans="1:15" ht="18" customHeight="1">
      <c r="A73" s="385">
        <v>1</v>
      </c>
      <c r="B73" s="595">
        <v>2</v>
      </c>
      <c r="C73" s="596"/>
      <c r="D73" s="609"/>
      <c r="E73" s="595">
        <v>3</v>
      </c>
      <c r="F73" s="597"/>
      <c r="G73" s="595">
        <v>4</v>
      </c>
      <c r="H73" s="608"/>
      <c r="I73" s="595">
        <v>5</v>
      </c>
      <c r="J73" s="613"/>
      <c r="K73" s="614"/>
      <c r="L73" s="382"/>
      <c r="M73" s="382"/>
      <c r="N73" s="382"/>
      <c r="O73" s="382"/>
    </row>
    <row r="74" spans="1:15" ht="20.100000000000001" customHeight="1">
      <c r="A74" s="121" t="s">
        <v>224</v>
      </c>
      <c r="B74" s="580"/>
      <c r="C74" s="581"/>
      <c r="D74" s="600"/>
      <c r="E74" s="389"/>
      <c r="F74" s="155"/>
      <c r="G74" s="158"/>
      <c r="H74" s="155"/>
      <c r="I74" s="384"/>
      <c r="J74" s="383"/>
      <c r="K74" s="159"/>
      <c r="L74" s="142"/>
      <c r="M74" s="142"/>
      <c r="N74" s="142"/>
      <c r="O74" s="142"/>
    </row>
    <row r="75" spans="1:15" ht="20.100000000000001" customHeight="1">
      <c r="A75" s="121" t="s">
        <v>90</v>
      </c>
      <c r="B75" s="580"/>
      <c r="C75" s="581"/>
      <c r="D75" s="600"/>
      <c r="E75" s="389"/>
      <c r="F75" s="155"/>
      <c r="G75" s="158"/>
      <c r="H75" s="155"/>
      <c r="I75" s="384"/>
      <c r="J75" s="383"/>
      <c r="K75" s="159"/>
      <c r="L75" s="142"/>
      <c r="M75" s="142"/>
      <c r="N75" s="142"/>
      <c r="O75" s="142"/>
    </row>
    <row r="76" spans="1:15" ht="20.100000000000001" customHeight="1">
      <c r="A76" s="121"/>
      <c r="B76" s="580"/>
      <c r="C76" s="581"/>
      <c r="D76" s="600"/>
      <c r="E76" s="389"/>
      <c r="F76" s="155"/>
      <c r="G76" s="158"/>
      <c r="H76" s="155"/>
      <c r="I76" s="384"/>
      <c r="J76" s="383"/>
      <c r="K76" s="159"/>
      <c r="L76" s="142"/>
      <c r="M76" s="142"/>
      <c r="N76" s="142"/>
      <c r="O76" s="142"/>
    </row>
    <row r="77" spans="1:15" ht="20.100000000000001" customHeight="1">
      <c r="A77" s="121" t="s">
        <v>225</v>
      </c>
      <c r="B77" s="580"/>
      <c r="C77" s="581"/>
      <c r="D77" s="600"/>
      <c r="E77" s="389"/>
      <c r="F77" s="155"/>
      <c r="G77" s="158"/>
      <c r="H77" s="155"/>
      <c r="I77" s="384"/>
      <c r="J77" s="383"/>
      <c r="K77" s="159"/>
      <c r="L77" s="142"/>
      <c r="M77" s="142"/>
      <c r="N77" s="142"/>
      <c r="O77" s="142"/>
    </row>
    <row r="78" spans="1:15" ht="20.100000000000001" customHeight="1">
      <c r="A78" s="121" t="s">
        <v>91</v>
      </c>
      <c r="B78" s="580"/>
      <c r="C78" s="581"/>
      <c r="D78" s="600"/>
      <c r="E78" s="389"/>
      <c r="F78" s="155"/>
      <c r="G78" s="158"/>
      <c r="H78" s="155"/>
      <c r="I78" s="384"/>
      <c r="J78" s="383"/>
      <c r="K78" s="159"/>
      <c r="L78" s="142"/>
      <c r="M78" s="142"/>
      <c r="N78" s="142"/>
      <c r="O78" s="142"/>
    </row>
    <row r="79" spans="1:15" ht="20.100000000000001" customHeight="1">
      <c r="A79" s="121"/>
      <c r="B79" s="580"/>
      <c r="C79" s="581"/>
      <c r="D79" s="600"/>
      <c r="E79" s="389"/>
      <c r="F79" s="155"/>
      <c r="G79" s="158"/>
      <c r="H79" s="155"/>
      <c r="I79" s="384"/>
      <c r="J79" s="383"/>
      <c r="K79" s="159"/>
      <c r="L79" s="142"/>
      <c r="M79" s="142"/>
      <c r="N79" s="142"/>
      <c r="O79" s="142"/>
    </row>
    <row r="80" spans="1:15" ht="20.100000000000001" customHeight="1">
      <c r="A80" s="121" t="s">
        <v>226</v>
      </c>
      <c r="B80" s="580"/>
      <c r="C80" s="581"/>
      <c r="D80" s="600"/>
      <c r="E80" s="389"/>
      <c r="F80" s="155"/>
      <c r="G80" s="158"/>
      <c r="H80" s="155"/>
      <c r="I80" s="384"/>
      <c r="J80" s="383"/>
      <c r="K80" s="159"/>
      <c r="L80" s="142"/>
      <c r="M80" s="142"/>
      <c r="N80" s="142"/>
      <c r="O80" s="142"/>
    </row>
    <row r="81" spans="1:29" ht="20.100000000000001" customHeight="1">
      <c r="A81" s="121" t="s">
        <v>90</v>
      </c>
      <c r="B81" s="580"/>
      <c r="C81" s="581"/>
      <c r="D81" s="600"/>
      <c r="E81" s="389"/>
      <c r="F81" s="155"/>
      <c r="G81" s="158"/>
      <c r="H81" s="155"/>
      <c r="I81" s="384"/>
      <c r="J81" s="383"/>
      <c r="K81" s="159"/>
      <c r="L81" s="142"/>
      <c r="M81" s="142"/>
      <c r="N81" s="142"/>
      <c r="O81" s="142"/>
    </row>
    <row r="82" spans="1:29" ht="20.100000000000001" customHeight="1">
      <c r="A82" s="121"/>
      <c r="B82" s="580"/>
      <c r="C82" s="581"/>
      <c r="D82" s="600"/>
      <c r="E82" s="389"/>
      <c r="F82" s="155"/>
      <c r="G82" s="158"/>
      <c r="H82" s="155"/>
      <c r="I82" s="384"/>
      <c r="J82" s="383"/>
      <c r="K82" s="159"/>
      <c r="L82" s="142"/>
      <c r="M82" s="142"/>
      <c r="N82" s="142"/>
      <c r="O82" s="142"/>
    </row>
    <row r="83" spans="1:29" ht="20.100000000000001" customHeight="1">
      <c r="A83" s="121" t="s">
        <v>45</v>
      </c>
      <c r="B83" s="580"/>
      <c r="C83" s="581"/>
      <c r="D83" s="600"/>
      <c r="E83" s="389"/>
      <c r="F83" s="160"/>
      <c r="G83" s="158"/>
      <c r="H83" s="160"/>
      <c r="I83" s="161"/>
      <c r="J83" s="383"/>
      <c r="K83" s="159"/>
      <c r="L83" s="142"/>
      <c r="M83" s="142"/>
      <c r="N83" s="142"/>
      <c r="O83" s="142"/>
    </row>
    <row r="84" spans="1:29">
      <c r="E84" s="162"/>
      <c r="F84" s="162"/>
      <c r="G84" s="162"/>
    </row>
    <row r="85" spans="1:29">
      <c r="E85" s="162"/>
      <c r="F85" s="162"/>
      <c r="G85" s="162"/>
    </row>
    <row r="86" spans="1:29">
      <c r="A86" s="604" t="s">
        <v>264</v>
      </c>
      <c r="B86" s="604"/>
      <c r="C86" s="604"/>
      <c r="D86" s="604"/>
      <c r="E86" s="604"/>
      <c r="F86" s="604"/>
      <c r="G86" s="604"/>
      <c r="H86" s="604"/>
      <c r="I86" s="604"/>
      <c r="J86" s="604"/>
      <c r="K86" s="604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  <c r="AA86" s="318"/>
      <c r="AB86" s="318"/>
      <c r="AC86" s="318"/>
    </row>
    <row r="87" spans="1:29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</row>
    <row r="88" spans="1:29" ht="18.75" customHeight="1">
      <c r="A88" s="631" t="s">
        <v>40</v>
      </c>
      <c r="B88" s="636" t="s">
        <v>159</v>
      </c>
      <c r="C88" s="637"/>
      <c r="D88" s="638"/>
      <c r="E88" s="605" t="s">
        <v>160</v>
      </c>
      <c r="F88" s="605" t="s">
        <v>231</v>
      </c>
      <c r="G88" s="605" t="s">
        <v>161</v>
      </c>
      <c r="H88" s="595" t="s">
        <v>247</v>
      </c>
      <c r="I88" s="596"/>
      <c r="J88" s="596"/>
      <c r="K88" s="596"/>
      <c r="L88" s="608"/>
      <c r="M88" s="390"/>
      <c r="N88" s="390"/>
      <c r="O88" s="390"/>
      <c r="P88" s="390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A88" s="382"/>
      <c r="AB88" s="382"/>
      <c r="AC88" s="382"/>
    </row>
    <row r="89" spans="1:29" ht="18.75" customHeight="1">
      <c r="A89" s="632"/>
      <c r="B89" s="642"/>
      <c r="C89" s="643"/>
      <c r="D89" s="644"/>
      <c r="E89" s="607"/>
      <c r="F89" s="607"/>
      <c r="G89" s="607"/>
      <c r="H89" s="386" t="s">
        <v>162</v>
      </c>
      <c r="I89" s="385" t="s">
        <v>163</v>
      </c>
      <c r="J89" s="385" t="s">
        <v>28</v>
      </c>
      <c r="K89" s="385" t="s">
        <v>164</v>
      </c>
      <c r="L89" s="319" t="s">
        <v>165</v>
      </c>
      <c r="M89" s="390"/>
      <c r="N89" s="390"/>
      <c r="O89" s="390"/>
      <c r="P89" s="390"/>
      <c r="Q89" s="390"/>
      <c r="R89" s="390"/>
      <c r="S89" s="390"/>
      <c r="T89" s="390"/>
      <c r="U89" s="390"/>
      <c r="V89" s="390"/>
      <c r="W89" s="390"/>
      <c r="X89" s="390"/>
      <c r="Y89" s="382"/>
      <c r="Z89" s="382"/>
      <c r="AA89" s="382"/>
      <c r="AB89" s="382"/>
      <c r="AC89" s="382"/>
    </row>
    <row r="90" spans="1:29">
      <c r="A90" s="164">
        <v>1</v>
      </c>
      <c r="B90" s="601">
        <v>2</v>
      </c>
      <c r="C90" s="602"/>
      <c r="D90" s="603"/>
      <c r="E90" s="165">
        <v>3</v>
      </c>
      <c r="F90" s="165">
        <v>4</v>
      </c>
      <c r="G90" s="166">
        <v>5</v>
      </c>
      <c r="H90" s="165">
        <v>6</v>
      </c>
      <c r="I90" s="165">
        <v>7</v>
      </c>
      <c r="J90" s="165">
        <v>8</v>
      </c>
      <c r="K90" s="165">
        <v>9</v>
      </c>
      <c r="L90" s="320">
        <v>10</v>
      </c>
      <c r="M90" s="321"/>
      <c r="N90" s="321"/>
      <c r="O90" s="321"/>
      <c r="P90" s="321"/>
      <c r="Q90" s="321"/>
      <c r="R90" s="321"/>
      <c r="S90" s="321"/>
      <c r="T90" s="321"/>
      <c r="U90" s="321"/>
      <c r="V90" s="321"/>
      <c r="W90" s="381"/>
      <c r="X90" s="381"/>
      <c r="Y90" s="381"/>
      <c r="Z90" s="381"/>
      <c r="AA90" s="381"/>
      <c r="AB90" s="381"/>
      <c r="AC90" s="381"/>
    </row>
    <row r="91" spans="1:29">
      <c r="A91" s="164"/>
      <c r="B91" s="601"/>
      <c r="C91" s="602"/>
      <c r="D91" s="603"/>
      <c r="E91" s="165"/>
      <c r="F91" s="165"/>
      <c r="G91" s="167">
        <f>SUM(H91:L91)</f>
        <v>0</v>
      </c>
      <c r="H91" s="168"/>
      <c r="I91" s="168"/>
      <c r="J91" s="168"/>
      <c r="K91" s="168"/>
      <c r="L91" s="322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</row>
    <row r="92" spans="1:29">
      <c r="A92" s="164"/>
      <c r="B92" s="601"/>
      <c r="C92" s="602"/>
      <c r="D92" s="603"/>
      <c r="E92" s="165"/>
      <c r="F92" s="165"/>
      <c r="G92" s="167">
        <f>SUM(H92:L92)</f>
        <v>0</v>
      </c>
      <c r="H92" s="168"/>
      <c r="I92" s="168"/>
      <c r="J92" s="168"/>
      <c r="K92" s="168"/>
      <c r="L92" s="322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</row>
    <row r="93" spans="1:29">
      <c r="A93" s="164"/>
      <c r="B93" s="601"/>
      <c r="C93" s="602"/>
      <c r="D93" s="603"/>
      <c r="E93" s="165"/>
      <c r="F93" s="165"/>
      <c r="G93" s="167">
        <f>SUM(H93:L93)</f>
        <v>0</v>
      </c>
      <c r="H93" s="168"/>
      <c r="I93" s="168"/>
      <c r="J93" s="168"/>
      <c r="K93" s="168"/>
      <c r="L93" s="322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</row>
    <row r="94" spans="1:29">
      <c r="A94" s="164"/>
      <c r="B94" s="601"/>
      <c r="C94" s="602"/>
      <c r="D94" s="603"/>
      <c r="E94" s="165"/>
      <c r="F94" s="165"/>
      <c r="G94" s="167">
        <f>SUM(H94:L94)</f>
        <v>0</v>
      </c>
      <c r="H94" s="168"/>
      <c r="I94" s="168"/>
      <c r="J94" s="168"/>
      <c r="K94" s="168"/>
      <c r="L94" s="322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23"/>
    </row>
    <row r="95" spans="1:29">
      <c r="A95" s="169" t="s">
        <v>45</v>
      </c>
      <c r="B95" s="634"/>
      <c r="C95" s="635"/>
      <c r="D95" s="603"/>
      <c r="E95" s="136"/>
      <c r="F95" s="170"/>
      <c r="G95" s="171">
        <f>G91+G92+G93+G94</f>
        <v>0</v>
      </c>
      <c r="H95" s="136"/>
      <c r="I95" s="136"/>
      <c r="J95" s="136"/>
      <c r="K95" s="136"/>
      <c r="L95" s="324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</row>
    <row r="96" spans="1:29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325"/>
      <c r="N96" s="325"/>
      <c r="O96" s="325"/>
      <c r="P96" s="325"/>
      <c r="Q96" s="326"/>
      <c r="R96" s="326"/>
      <c r="S96" s="326"/>
      <c r="T96" s="326"/>
      <c r="U96" s="326"/>
      <c r="V96" s="326"/>
      <c r="W96" s="327"/>
      <c r="X96" s="327"/>
      <c r="Y96" s="327"/>
      <c r="Z96" s="327"/>
      <c r="AA96" s="327"/>
      <c r="AB96" s="327"/>
      <c r="AC96" s="327"/>
    </row>
    <row r="97" spans="1:33">
      <c r="A97" s="604" t="s">
        <v>265</v>
      </c>
      <c r="B97" s="604"/>
      <c r="C97" s="604"/>
      <c r="D97" s="604"/>
      <c r="E97" s="604"/>
      <c r="F97" s="604"/>
      <c r="G97" s="604"/>
      <c r="H97" s="604"/>
      <c r="I97" s="604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388"/>
      <c r="U97" s="388"/>
      <c r="V97" s="388"/>
      <c r="W97" s="388"/>
      <c r="X97" s="388"/>
      <c r="Y97" s="388"/>
      <c r="Z97" s="388"/>
      <c r="AA97" s="388"/>
      <c r="AB97" s="388"/>
      <c r="AC97" s="388"/>
    </row>
    <row r="98" spans="1:33">
      <c r="A98" s="388"/>
      <c r="B98" s="388"/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88"/>
      <c r="AC98" s="388"/>
    </row>
    <row r="99" spans="1:33" ht="18.75" customHeight="1">
      <c r="A99" s="631" t="s">
        <v>40</v>
      </c>
      <c r="B99" s="636" t="s">
        <v>166</v>
      </c>
      <c r="C99" s="637"/>
      <c r="D99" s="638"/>
      <c r="E99" s="605" t="s">
        <v>159</v>
      </c>
      <c r="F99" s="605" t="s">
        <v>231</v>
      </c>
      <c r="G99" s="605" t="s">
        <v>167</v>
      </c>
      <c r="H99" s="595" t="s">
        <v>168</v>
      </c>
      <c r="I99" s="596"/>
      <c r="J99" s="596"/>
      <c r="K99" s="596"/>
      <c r="L99" s="608"/>
      <c r="M99" s="390"/>
      <c r="N99" s="390"/>
      <c r="O99" s="390"/>
      <c r="P99" s="390"/>
      <c r="Q99" s="390"/>
      <c r="R99" s="390"/>
      <c r="S99" s="390"/>
      <c r="T99" s="390"/>
      <c r="U99" s="390"/>
      <c r="V99" s="382"/>
      <c r="W99" s="382"/>
      <c r="X99" s="382"/>
      <c r="Y99" s="382"/>
      <c r="Z99" s="382"/>
      <c r="AA99" s="382"/>
      <c r="AB99" s="382"/>
      <c r="AC99" s="382"/>
      <c r="AG99" s="122" t="s">
        <v>345</v>
      </c>
    </row>
    <row r="100" spans="1:33" ht="18.75" customHeight="1">
      <c r="A100" s="633"/>
      <c r="B100" s="639"/>
      <c r="C100" s="640"/>
      <c r="D100" s="641"/>
      <c r="E100" s="606"/>
      <c r="F100" s="606"/>
      <c r="G100" s="606"/>
      <c r="H100" s="605" t="s">
        <v>169</v>
      </c>
      <c r="I100" s="595" t="s">
        <v>86</v>
      </c>
      <c r="J100" s="596"/>
      <c r="K100" s="596"/>
      <c r="L100" s="608"/>
      <c r="M100" s="390"/>
      <c r="N100" s="390"/>
      <c r="O100" s="390"/>
      <c r="P100" s="390"/>
      <c r="Q100" s="390"/>
      <c r="R100" s="390"/>
      <c r="S100" s="390"/>
      <c r="T100" s="390"/>
      <c r="U100" s="390"/>
      <c r="V100" s="382"/>
      <c r="W100" s="382"/>
      <c r="X100" s="382"/>
      <c r="Y100" s="382"/>
      <c r="Z100" s="382"/>
      <c r="AA100" s="382"/>
      <c r="AB100" s="382"/>
      <c r="AC100" s="382"/>
    </row>
    <row r="101" spans="1:33">
      <c r="A101" s="632"/>
      <c r="B101" s="642"/>
      <c r="C101" s="643"/>
      <c r="D101" s="644"/>
      <c r="E101" s="607"/>
      <c r="F101" s="607"/>
      <c r="G101" s="607"/>
      <c r="H101" s="607"/>
      <c r="I101" s="385" t="s">
        <v>248</v>
      </c>
      <c r="J101" s="385" t="s">
        <v>249</v>
      </c>
      <c r="K101" s="385" t="s">
        <v>250</v>
      </c>
      <c r="L101" s="385" t="s">
        <v>251</v>
      </c>
      <c r="M101" s="390"/>
      <c r="N101" s="390"/>
      <c r="O101" s="390"/>
      <c r="P101" s="390"/>
      <c r="Q101" s="390"/>
      <c r="R101" s="390"/>
      <c r="S101" s="390"/>
      <c r="T101" s="390"/>
      <c r="U101" s="390"/>
      <c r="V101" s="382"/>
      <c r="W101" s="382"/>
      <c r="X101" s="382"/>
      <c r="Y101" s="382"/>
      <c r="Z101" s="382"/>
      <c r="AA101" s="382"/>
      <c r="AB101" s="382"/>
      <c r="AC101" s="382"/>
    </row>
    <row r="102" spans="1:33">
      <c r="A102" s="164">
        <v>1</v>
      </c>
      <c r="B102" s="601">
        <v>2</v>
      </c>
      <c r="C102" s="602"/>
      <c r="D102" s="603"/>
      <c r="E102" s="165">
        <v>3</v>
      </c>
      <c r="F102" s="165">
        <v>4</v>
      </c>
      <c r="G102" s="165">
        <v>5</v>
      </c>
      <c r="H102" s="165">
        <v>6</v>
      </c>
      <c r="I102" s="165">
        <v>7</v>
      </c>
      <c r="J102" s="165">
        <v>8</v>
      </c>
      <c r="K102" s="165">
        <v>9</v>
      </c>
      <c r="L102" s="165">
        <v>10</v>
      </c>
      <c r="M102" s="321"/>
      <c r="N102" s="321"/>
      <c r="O102" s="321"/>
      <c r="P102" s="321"/>
      <c r="Q102" s="321"/>
      <c r="R102" s="321"/>
      <c r="S102" s="321"/>
      <c r="T102" s="321"/>
      <c r="U102" s="321"/>
      <c r="V102" s="321"/>
      <c r="W102" s="321"/>
      <c r="X102" s="381"/>
      <c r="Y102" s="381"/>
      <c r="Z102" s="381"/>
      <c r="AA102" s="381"/>
      <c r="AB102" s="381"/>
      <c r="AC102" s="381"/>
    </row>
    <row r="103" spans="1:33">
      <c r="A103" s="173"/>
      <c r="B103" s="618"/>
      <c r="C103" s="619"/>
      <c r="D103" s="620"/>
      <c r="E103" s="174"/>
      <c r="F103" s="174"/>
      <c r="G103" s="174"/>
      <c r="H103" s="175">
        <f>SUM(I103:L103)</f>
        <v>0</v>
      </c>
      <c r="I103" s="168"/>
      <c r="J103" s="168"/>
      <c r="K103" s="168"/>
      <c r="L103" s="168"/>
      <c r="M103" s="328"/>
      <c r="N103" s="328"/>
      <c r="O103" s="328"/>
      <c r="P103" s="328"/>
      <c r="Q103" s="329"/>
      <c r="R103" s="329"/>
      <c r="S103" s="329"/>
      <c r="T103" s="329"/>
      <c r="U103" s="329"/>
      <c r="V103" s="323"/>
      <c r="W103" s="323"/>
      <c r="X103" s="323"/>
      <c r="Y103" s="323"/>
      <c r="Z103" s="323"/>
      <c r="AA103" s="323"/>
      <c r="AB103" s="323"/>
      <c r="AC103" s="323"/>
    </row>
    <row r="104" spans="1:33">
      <c r="A104" s="173"/>
      <c r="B104" s="618"/>
      <c r="C104" s="619"/>
      <c r="D104" s="620"/>
      <c r="E104" s="174"/>
      <c r="F104" s="174"/>
      <c r="G104" s="174"/>
      <c r="H104" s="175">
        <f>SUM(I104:L104)</f>
        <v>0</v>
      </c>
      <c r="I104" s="168"/>
      <c r="J104" s="168"/>
      <c r="K104" s="168"/>
      <c r="L104" s="168"/>
      <c r="M104" s="328"/>
      <c r="N104" s="328"/>
      <c r="O104" s="328"/>
      <c r="P104" s="328"/>
      <c r="Q104" s="329"/>
      <c r="R104" s="329"/>
      <c r="S104" s="329"/>
      <c r="T104" s="329"/>
      <c r="U104" s="329"/>
      <c r="V104" s="323"/>
      <c r="W104" s="323"/>
      <c r="X104" s="323"/>
      <c r="Y104" s="323"/>
      <c r="Z104" s="323"/>
      <c r="AA104" s="323"/>
      <c r="AB104" s="323"/>
      <c r="AC104" s="323"/>
    </row>
    <row r="105" spans="1:33">
      <c r="A105" s="173"/>
      <c r="B105" s="618"/>
      <c r="C105" s="619"/>
      <c r="D105" s="620"/>
      <c r="E105" s="174"/>
      <c r="F105" s="174"/>
      <c r="G105" s="174"/>
      <c r="H105" s="175">
        <f>SUM(I105:L105)</f>
        <v>0</v>
      </c>
      <c r="I105" s="168"/>
      <c r="J105" s="168"/>
      <c r="K105" s="168"/>
      <c r="L105" s="168"/>
      <c r="M105" s="328"/>
      <c r="N105" s="328"/>
      <c r="O105" s="328"/>
      <c r="P105" s="328"/>
      <c r="Q105" s="329"/>
      <c r="R105" s="329"/>
      <c r="S105" s="329"/>
      <c r="T105" s="329"/>
      <c r="U105" s="329"/>
      <c r="V105" s="323"/>
      <c r="W105" s="323"/>
      <c r="X105" s="323"/>
      <c r="Y105" s="323"/>
      <c r="Z105" s="323"/>
      <c r="AA105" s="323"/>
      <c r="AB105" s="323"/>
      <c r="AC105" s="323"/>
    </row>
    <row r="106" spans="1:33">
      <c r="A106" s="173"/>
      <c r="B106" s="618"/>
      <c r="C106" s="619"/>
      <c r="D106" s="620"/>
      <c r="E106" s="174"/>
      <c r="F106" s="174"/>
      <c r="G106" s="174"/>
      <c r="H106" s="175">
        <f>SUM(I106:L106)</f>
        <v>0</v>
      </c>
      <c r="I106" s="168"/>
      <c r="J106" s="168"/>
      <c r="K106" s="168"/>
      <c r="L106" s="168"/>
      <c r="M106" s="328"/>
      <c r="N106" s="328"/>
      <c r="O106" s="328"/>
      <c r="P106" s="328"/>
      <c r="Q106" s="329"/>
      <c r="R106" s="329"/>
      <c r="S106" s="329"/>
      <c r="T106" s="329"/>
      <c r="U106" s="329"/>
      <c r="V106" s="323"/>
      <c r="W106" s="323"/>
      <c r="X106" s="323"/>
      <c r="Y106" s="323"/>
      <c r="Z106" s="323"/>
      <c r="AA106" s="323"/>
      <c r="AB106" s="323"/>
      <c r="AC106" s="323"/>
    </row>
    <row r="107" spans="1:33">
      <c r="A107" s="169" t="s">
        <v>45</v>
      </c>
      <c r="B107" s="625"/>
      <c r="C107" s="626"/>
      <c r="D107" s="620"/>
      <c r="E107" s="169"/>
      <c r="F107" s="169"/>
      <c r="G107" s="169"/>
      <c r="H107" s="176">
        <f>H103+H104+H105+H106</f>
        <v>0</v>
      </c>
      <c r="I107" s="169"/>
      <c r="J107" s="169"/>
      <c r="K107" s="169"/>
      <c r="L107" s="16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2"/>
      <c r="W107" s="142"/>
      <c r="X107" s="142"/>
      <c r="Y107" s="142"/>
      <c r="Z107" s="142"/>
      <c r="AA107" s="142"/>
      <c r="AB107" s="142"/>
      <c r="AC107" s="142"/>
    </row>
    <row r="108" spans="1:33">
      <c r="A108" s="382"/>
      <c r="B108" s="382"/>
      <c r="C108" s="382"/>
      <c r="D108" s="382"/>
      <c r="E108" s="382"/>
      <c r="F108" s="382"/>
      <c r="G108" s="382"/>
      <c r="H108" s="382"/>
      <c r="I108" s="382"/>
      <c r="J108" s="382"/>
      <c r="K108" s="382"/>
      <c r="L108" s="382"/>
      <c r="M108" s="382"/>
      <c r="N108" s="382"/>
      <c r="O108" s="382"/>
      <c r="Q108" s="330"/>
      <c r="R108" s="330"/>
      <c r="S108" s="330"/>
      <c r="T108" s="330"/>
      <c r="U108" s="330"/>
      <c r="AC108" s="330"/>
    </row>
    <row r="109" spans="1:33">
      <c r="A109" s="382"/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Q109" s="330"/>
      <c r="R109" s="330"/>
      <c r="S109" s="330"/>
      <c r="T109" s="330"/>
      <c r="U109" s="330"/>
      <c r="AC109" s="330"/>
    </row>
    <row r="110" spans="1:33">
      <c r="A110" s="604" t="s">
        <v>243</v>
      </c>
      <c r="B110" s="604"/>
      <c r="C110" s="604"/>
      <c r="D110" s="604"/>
      <c r="E110" s="604"/>
      <c r="F110" s="604"/>
      <c r="G110" s="604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/>
      <c r="R110" s="388"/>
      <c r="S110" s="388"/>
      <c r="T110" s="388"/>
      <c r="U110" s="388"/>
      <c r="V110" s="388"/>
      <c r="W110" s="388"/>
      <c r="X110" s="388"/>
      <c r="Y110" s="388"/>
      <c r="Z110" s="388"/>
      <c r="AA110" s="388"/>
      <c r="AB110" s="388"/>
      <c r="AC110" s="388"/>
    </row>
    <row r="111" spans="1:33">
      <c r="A111" s="177"/>
      <c r="B111" s="177"/>
      <c r="C111" s="177"/>
      <c r="D111" s="177"/>
      <c r="E111" s="177"/>
      <c r="F111" s="177"/>
      <c r="G111" s="177"/>
      <c r="H111" s="177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7"/>
      <c r="W111" s="645" t="s">
        <v>185</v>
      </c>
      <c r="X111" s="645"/>
      <c r="Y111" s="645"/>
      <c r="Z111" s="645"/>
      <c r="AA111" s="645"/>
      <c r="AB111" s="645"/>
      <c r="AC111" s="645"/>
    </row>
    <row r="112" spans="1:33" ht="18.75" customHeight="1">
      <c r="A112" s="612" t="s">
        <v>40</v>
      </c>
      <c r="B112" s="586" t="s">
        <v>186</v>
      </c>
      <c r="C112" s="587"/>
      <c r="D112" s="588"/>
      <c r="E112" s="595" t="s">
        <v>44</v>
      </c>
      <c r="F112" s="596"/>
      <c r="G112" s="596"/>
      <c r="H112" s="596"/>
      <c r="I112" s="608"/>
      <c r="J112" s="595" t="s">
        <v>394</v>
      </c>
      <c r="K112" s="596"/>
      <c r="L112" s="596"/>
      <c r="M112" s="596"/>
      <c r="N112" s="608"/>
      <c r="O112" s="595" t="s">
        <v>206</v>
      </c>
      <c r="P112" s="596"/>
      <c r="Q112" s="596"/>
      <c r="R112" s="596"/>
      <c r="S112" s="608"/>
      <c r="T112" s="595" t="s">
        <v>113</v>
      </c>
      <c r="U112" s="596"/>
      <c r="V112" s="596"/>
      <c r="W112" s="596"/>
      <c r="X112" s="608"/>
      <c r="Y112" s="612" t="s">
        <v>45</v>
      </c>
      <c r="Z112" s="612"/>
      <c r="AA112" s="612"/>
      <c r="AB112" s="612"/>
      <c r="AC112" s="612"/>
    </row>
    <row r="113" spans="1:33">
      <c r="A113" s="612"/>
      <c r="B113" s="627"/>
      <c r="C113" s="628"/>
      <c r="D113" s="591"/>
      <c r="E113" s="605" t="s">
        <v>117</v>
      </c>
      <c r="F113" s="595" t="s">
        <v>86</v>
      </c>
      <c r="G113" s="596"/>
      <c r="H113" s="596"/>
      <c r="I113" s="608"/>
      <c r="J113" s="605" t="s">
        <v>117</v>
      </c>
      <c r="K113" s="595" t="s">
        <v>86</v>
      </c>
      <c r="L113" s="609"/>
      <c r="M113" s="609"/>
      <c r="N113" s="597"/>
      <c r="O113" s="605" t="s">
        <v>117</v>
      </c>
      <c r="P113" s="595" t="s">
        <v>86</v>
      </c>
      <c r="Q113" s="596"/>
      <c r="R113" s="596"/>
      <c r="S113" s="608"/>
      <c r="T113" s="605" t="s">
        <v>117</v>
      </c>
      <c r="U113" s="595" t="s">
        <v>86</v>
      </c>
      <c r="V113" s="596"/>
      <c r="W113" s="596"/>
      <c r="X113" s="608"/>
      <c r="Y113" s="612" t="s">
        <v>117</v>
      </c>
      <c r="Z113" s="612" t="s">
        <v>86</v>
      </c>
      <c r="AA113" s="612"/>
      <c r="AB113" s="612"/>
      <c r="AC113" s="612"/>
    </row>
    <row r="114" spans="1:33">
      <c r="A114" s="612"/>
      <c r="B114" s="629"/>
      <c r="C114" s="630"/>
      <c r="D114" s="594"/>
      <c r="E114" s="617"/>
      <c r="F114" s="385" t="s">
        <v>252</v>
      </c>
      <c r="G114" s="385" t="s">
        <v>249</v>
      </c>
      <c r="H114" s="385" t="s">
        <v>250</v>
      </c>
      <c r="I114" s="385" t="s">
        <v>251</v>
      </c>
      <c r="J114" s="617"/>
      <c r="K114" s="385" t="s">
        <v>252</v>
      </c>
      <c r="L114" s="385" t="s">
        <v>249</v>
      </c>
      <c r="M114" s="385" t="s">
        <v>250</v>
      </c>
      <c r="N114" s="385" t="s">
        <v>251</v>
      </c>
      <c r="O114" s="617"/>
      <c r="P114" s="385" t="s">
        <v>65</v>
      </c>
      <c r="Q114" s="385" t="s">
        <v>66</v>
      </c>
      <c r="R114" s="385" t="s">
        <v>64</v>
      </c>
      <c r="S114" s="385" t="s">
        <v>61</v>
      </c>
      <c r="T114" s="617"/>
      <c r="U114" s="385" t="s">
        <v>65</v>
      </c>
      <c r="V114" s="385" t="s">
        <v>66</v>
      </c>
      <c r="W114" s="385" t="s">
        <v>64</v>
      </c>
      <c r="X114" s="385" t="s">
        <v>61</v>
      </c>
      <c r="Y114" s="612"/>
      <c r="Z114" s="385" t="s">
        <v>65</v>
      </c>
      <c r="AA114" s="385" t="s">
        <v>66</v>
      </c>
      <c r="AB114" s="385" t="s">
        <v>64</v>
      </c>
      <c r="AC114" s="385" t="s">
        <v>61</v>
      </c>
    </row>
    <row r="115" spans="1:33">
      <c r="A115" s="385">
        <v>1</v>
      </c>
      <c r="B115" s="595">
        <v>2</v>
      </c>
      <c r="C115" s="596"/>
      <c r="D115" s="597"/>
      <c r="E115" s="385">
        <v>3</v>
      </c>
      <c r="F115" s="385">
        <v>4</v>
      </c>
      <c r="G115" s="385">
        <v>5</v>
      </c>
      <c r="H115" s="385">
        <v>6</v>
      </c>
      <c r="I115" s="385">
        <v>7</v>
      </c>
      <c r="J115" s="385">
        <v>8</v>
      </c>
      <c r="K115" s="385">
        <v>9</v>
      </c>
      <c r="L115" s="385">
        <v>10</v>
      </c>
      <c r="M115" s="385">
        <v>11</v>
      </c>
      <c r="N115" s="385">
        <v>12</v>
      </c>
      <c r="O115" s="385">
        <v>13</v>
      </c>
      <c r="P115" s="385">
        <v>14</v>
      </c>
      <c r="Q115" s="385">
        <v>15</v>
      </c>
      <c r="R115" s="385">
        <v>16</v>
      </c>
      <c r="S115" s="385">
        <v>17</v>
      </c>
      <c r="T115" s="385">
        <v>18</v>
      </c>
      <c r="U115" s="385">
        <v>19</v>
      </c>
      <c r="V115" s="387">
        <v>20</v>
      </c>
      <c r="W115" s="387">
        <v>21</v>
      </c>
      <c r="X115" s="387">
        <v>22</v>
      </c>
      <c r="Y115" s="387">
        <v>23</v>
      </c>
      <c r="Z115" s="387">
        <v>24</v>
      </c>
      <c r="AA115" s="387">
        <v>25</v>
      </c>
      <c r="AB115" s="387">
        <v>26</v>
      </c>
      <c r="AC115" s="387">
        <v>27</v>
      </c>
    </row>
    <row r="116" spans="1:33" ht="45.75" customHeight="1">
      <c r="A116" s="392">
        <v>1</v>
      </c>
      <c r="B116" s="621" t="s">
        <v>408</v>
      </c>
      <c r="C116" s="622"/>
      <c r="D116" s="582"/>
      <c r="E116" s="175">
        <f>F116+G116+H116+I116</f>
        <v>0</v>
      </c>
      <c r="F116" s="179"/>
      <c r="G116" s="179"/>
      <c r="H116" s="180"/>
      <c r="I116" s="180"/>
      <c r="J116" s="103">
        <f>K116+L116+M116+N116</f>
        <v>3000</v>
      </c>
      <c r="K116" s="103"/>
      <c r="L116" s="103">
        <f>'[50]4. Кап. інвестиції'!H9</f>
        <v>0</v>
      </c>
      <c r="M116" s="103">
        <f>'[50]4. Кап. інвестиції'!I9</f>
        <v>3000</v>
      </c>
      <c r="N116" s="103"/>
      <c r="O116" s="181">
        <f>P116+Q116+R116+S116</f>
        <v>22.5</v>
      </c>
      <c r="P116" s="331"/>
      <c r="Q116" s="331"/>
      <c r="R116" s="331"/>
      <c r="S116" s="331">
        <v>22.5</v>
      </c>
      <c r="T116" s="181">
        <f>U116+V116+W116+X116</f>
        <v>0</v>
      </c>
      <c r="U116" s="331"/>
      <c r="V116" s="331"/>
      <c r="W116" s="331"/>
      <c r="X116" s="331"/>
      <c r="Y116" s="112">
        <f t="shared" ref="Y116:AC120" si="3">E116+J116+O116+T116</f>
        <v>3022.5</v>
      </c>
      <c r="Z116" s="332">
        <f t="shared" si="3"/>
        <v>0</v>
      </c>
      <c r="AA116" s="332">
        <f t="shared" si="3"/>
        <v>0</v>
      </c>
      <c r="AB116" s="332">
        <f t="shared" si="3"/>
        <v>3000</v>
      </c>
      <c r="AC116" s="332">
        <f t="shared" si="3"/>
        <v>22.5</v>
      </c>
    </row>
    <row r="117" spans="1:33">
      <c r="A117" s="392">
        <v>2</v>
      </c>
      <c r="B117" s="621" t="s">
        <v>373</v>
      </c>
      <c r="C117" s="622"/>
      <c r="D117" s="582"/>
      <c r="E117" s="175">
        <f>F117+G117+H117+I117</f>
        <v>0</v>
      </c>
      <c r="F117" s="179"/>
      <c r="G117" s="179"/>
      <c r="H117" s="180"/>
      <c r="I117" s="180"/>
      <c r="J117" s="103">
        <f>K117+L117+M117+N117</f>
        <v>0</v>
      </c>
      <c r="K117" s="103"/>
      <c r="L117" s="103"/>
      <c r="M117" s="103"/>
      <c r="N117" s="103"/>
      <c r="O117" s="181">
        <f>P117+Q117+R117+S117</f>
        <v>0</v>
      </c>
      <c r="P117" s="331"/>
      <c r="Q117" s="331"/>
      <c r="R117" s="331"/>
      <c r="S117" s="331"/>
      <c r="T117" s="181">
        <f>U117+V117+W117+X117</f>
        <v>0</v>
      </c>
      <c r="U117" s="331"/>
      <c r="V117" s="331"/>
      <c r="W117" s="331"/>
      <c r="X117" s="331"/>
      <c r="Y117" s="112">
        <f t="shared" si="3"/>
        <v>0</v>
      </c>
      <c r="Z117" s="332">
        <f t="shared" si="3"/>
        <v>0</v>
      </c>
      <c r="AA117" s="332">
        <f t="shared" si="3"/>
        <v>0</v>
      </c>
      <c r="AB117" s="332">
        <f t="shared" si="3"/>
        <v>0</v>
      </c>
      <c r="AC117" s="332">
        <f t="shared" si="3"/>
        <v>0</v>
      </c>
    </row>
    <row r="118" spans="1:33">
      <c r="A118" s="392"/>
      <c r="B118" s="623"/>
      <c r="C118" s="624"/>
      <c r="D118" s="597"/>
      <c r="E118" s="175">
        <f>F118+G118+H118+I118</f>
        <v>0</v>
      </c>
      <c r="F118" s="179"/>
      <c r="G118" s="179"/>
      <c r="H118" s="180"/>
      <c r="I118" s="180"/>
      <c r="J118" s="103">
        <f>K118+L118+M118+N118</f>
        <v>0</v>
      </c>
      <c r="K118" s="103"/>
      <c r="L118" s="103"/>
      <c r="M118" s="103"/>
      <c r="N118" s="103"/>
      <c r="O118" s="181">
        <f>P118+Q118+R118+S118</f>
        <v>0</v>
      </c>
      <c r="P118" s="331"/>
      <c r="Q118" s="331"/>
      <c r="R118" s="331"/>
      <c r="S118" s="331"/>
      <c r="T118" s="181">
        <f>U118+V118+W118+X118</f>
        <v>0</v>
      </c>
      <c r="U118" s="331"/>
      <c r="V118" s="331"/>
      <c r="W118" s="331"/>
      <c r="X118" s="331"/>
      <c r="Y118" s="112">
        <f t="shared" si="3"/>
        <v>0</v>
      </c>
      <c r="Z118" s="332">
        <f t="shared" si="3"/>
        <v>0</v>
      </c>
      <c r="AA118" s="332">
        <f t="shared" si="3"/>
        <v>0</v>
      </c>
      <c r="AB118" s="332">
        <f t="shared" si="3"/>
        <v>0</v>
      </c>
      <c r="AC118" s="332">
        <f t="shared" si="3"/>
        <v>0</v>
      </c>
    </row>
    <row r="119" spans="1:33">
      <c r="A119" s="392"/>
      <c r="B119" s="623"/>
      <c r="C119" s="624"/>
      <c r="D119" s="597"/>
      <c r="E119" s="175">
        <f>F119+G119+H119+I119</f>
        <v>0</v>
      </c>
      <c r="F119" s="179"/>
      <c r="G119" s="179"/>
      <c r="H119" s="180"/>
      <c r="I119" s="180"/>
      <c r="J119" s="103">
        <f>K119+L119+M119+N119</f>
        <v>0</v>
      </c>
      <c r="K119" s="103"/>
      <c r="L119" s="103"/>
      <c r="M119" s="103"/>
      <c r="N119" s="103"/>
      <c r="O119" s="181">
        <f>P119+Q119+R119+S119</f>
        <v>0</v>
      </c>
      <c r="P119" s="331"/>
      <c r="Q119" s="331"/>
      <c r="R119" s="331"/>
      <c r="S119" s="331"/>
      <c r="T119" s="181">
        <f>U119+V119+W119+X119</f>
        <v>0</v>
      </c>
      <c r="U119" s="331"/>
      <c r="V119" s="331"/>
      <c r="W119" s="331"/>
      <c r="X119" s="331"/>
      <c r="Y119" s="112">
        <f t="shared" si="3"/>
        <v>0</v>
      </c>
      <c r="Z119" s="332">
        <f t="shared" si="3"/>
        <v>0</v>
      </c>
      <c r="AA119" s="332">
        <f t="shared" si="3"/>
        <v>0</v>
      </c>
      <c r="AB119" s="332">
        <f t="shared" si="3"/>
        <v>0</v>
      </c>
      <c r="AC119" s="332">
        <f t="shared" si="3"/>
        <v>0</v>
      </c>
    </row>
    <row r="120" spans="1:33" s="124" customFormat="1">
      <c r="A120" s="333" t="s">
        <v>45</v>
      </c>
      <c r="B120" s="583"/>
      <c r="C120" s="584"/>
      <c r="D120" s="585"/>
      <c r="E120" s="334">
        <f>SUM(E116:E119)</f>
        <v>0</v>
      </c>
      <c r="F120" s="333"/>
      <c r="G120" s="333"/>
      <c r="H120" s="335"/>
      <c r="I120" s="335"/>
      <c r="J120" s="90">
        <f>SUM(J116:J119)</f>
        <v>3000</v>
      </c>
      <c r="K120" s="90">
        <f t="shared" ref="K120:X120" si="4">SUM(K116:K119)</f>
        <v>0</v>
      </c>
      <c r="L120" s="90">
        <f t="shared" si="4"/>
        <v>0</v>
      </c>
      <c r="M120" s="90">
        <f t="shared" si="4"/>
        <v>3000</v>
      </c>
      <c r="N120" s="90">
        <f t="shared" si="4"/>
        <v>0</v>
      </c>
      <c r="O120" s="316">
        <f t="shared" si="4"/>
        <v>22.5</v>
      </c>
      <c r="P120" s="316">
        <f t="shared" si="4"/>
        <v>0</v>
      </c>
      <c r="Q120" s="316">
        <f t="shared" si="4"/>
        <v>0</v>
      </c>
      <c r="R120" s="316">
        <f t="shared" si="4"/>
        <v>0</v>
      </c>
      <c r="S120" s="316">
        <f t="shared" si="4"/>
        <v>22.5</v>
      </c>
      <c r="T120" s="316">
        <f t="shared" si="4"/>
        <v>0</v>
      </c>
      <c r="U120" s="316">
        <f t="shared" si="4"/>
        <v>0</v>
      </c>
      <c r="V120" s="316">
        <f t="shared" si="4"/>
        <v>0</v>
      </c>
      <c r="W120" s="316">
        <f t="shared" si="4"/>
        <v>0</v>
      </c>
      <c r="X120" s="316">
        <f t="shared" si="4"/>
        <v>0</v>
      </c>
      <c r="Y120" s="316">
        <f t="shared" si="3"/>
        <v>3022.5</v>
      </c>
      <c r="Z120" s="336">
        <f t="shared" si="3"/>
        <v>0</v>
      </c>
      <c r="AA120" s="336">
        <f t="shared" si="3"/>
        <v>0</v>
      </c>
      <c r="AB120" s="336">
        <f t="shared" si="3"/>
        <v>3000</v>
      </c>
      <c r="AC120" s="336">
        <f t="shared" si="3"/>
        <v>22.5</v>
      </c>
    </row>
    <row r="121" spans="1:33">
      <c r="A121" s="121" t="s">
        <v>46</v>
      </c>
      <c r="B121" s="580"/>
      <c r="C121" s="581"/>
      <c r="D121" s="582"/>
      <c r="E121" s="121"/>
      <c r="F121" s="121"/>
      <c r="G121" s="385">
        <f>G120/Y120*100</f>
        <v>0</v>
      </c>
      <c r="H121" s="183"/>
      <c r="I121" s="183"/>
      <c r="J121" s="106">
        <f>J120/Y120*100</f>
        <v>99.255583126550874</v>
      </c>
      <c r="K121" s="106">
        <f>K120/Y120*100</f>
        <v>0</v>
      </c>
      <c r="L121" s="106">
        <f>L120/Y120*100</f>
        <v>0</v>
      </c>
      <c r="M121" s="106">
        <f>M120/Y120*100</f>
        <v>99.255583126550874</v>
      </c>
      <c r="N121" s="106">
        <f>N120/Y120*100</f>
        <v>0</v>
      </c>
      <c r="O121" s="271">
        <f>O120/Y120*100</f>
        <v>0.74441687344913154</v>
      </c>
      <c r="P121" s="271">
        <f>P120/Y120*100</f>
        <v>0</v>
      </c>
      <c r="Q121" s="271">
        <f>Q120/Y120*100</f>
        <v>0</v>
      </c>
      <c r="R121" s="271">
        <f>R120/Y120*100</f>
        <v>0</v>
      </c>
      <c r="S121" s="271">
        <f>S120/Y120*100</f>
        <v>0.74441687344913154</v>
      </c>
      <c r="T121" s="271">
        <f>T120/Y120*100</f>
        <v>0</v>
      </c>
      <c r="U121" s="271">
        <f>U120/Y120*100</f>
        <v>0</v>
      </c>
      <c r="V121" s="271">
        <f>V120/Y120*100</f>
        <v>0</v>
      </c>
      <c r="W121" s="271">
        <f>W120/Y120*100</f>
        <v>0</v>
      </c>
      <c r="X121" s="271">
        <f>X120/Y120*100</f>
        <v>0</v>
      </c>
      <c r="Y121" s="271">
        <v>100</v>
      </c>
      <c r="Z121" s="271">
        <f>Z120/Y120*100</f>
        <v>0</v>
      </c>
      <c r="AA121" s="271">
        <f>AA120/Y120*100</f>
        <v>0</v>
      </c>
      <c r="AB121" s="271">
        <f>AB120/Y120*100</f>
        <v>99.255583126550874</v>
      </c>
      <c r="AC121" s="271">
        <f>AC120/Y120*100</f>
        <v>0.74441687344913154</v>
      </c>
    </row>
    <row r="122" spans="1:33" ht="18.75" customHeight="1">
      <c r="F122" s="659"/>
      <c r="G122" s="660"/>
      <c r="H122" s="660"/>
      <c r="I122" s="660"/>
    </row>
    <row r="123" spans="1:33">
      <c r="A123" s="124" t="s">
        <v>268</v>
      </c>
    </row>
    <row r="124" spans="1:33">
      <c r="A124" s="124"/>
      <c r="U124" s="122" t="s">
        <v>282</v>
      </c>
    </row>
    <row r="125" spans="1:33" ht="18.75" customHeight="1">
      <c r="A125" s="615" t="s">
        <v>40</v>
      </c>
      <c r="B125" s="586" t="s">
        <v>272</v>
      </c>
      <c r="C125" s="587"/>
      <c r="D125" s="588"/>
      <c r="E125" s="605" t="s">
        <v>273</v>
      </c>
      <c r="F125" s="605" t="s">
        <v>274</v>
      </c>
      <c r="G125" s="605" t="s">
        <v>269</v>
      </c>
      <c r="H125" s="605" t="s">
        <v>270</v>
      </c>
      <c r="I125" s="595" t="s">
        <v>117</v>
      </c>
      <c r="J125" s="596"/>
      <c r="K125" s="596"/>
      <c r="L125" s="596"/>
      <c r="M125" s="608"/>
      <c r="N125" s="586" t="s">
        <v>275</v>
      </c>
      <c r="O125" s="646"/>
      <c r="P125" s="588"/>
      <c r="Q125" s="612" t="s">
        <v>276</v>
      </c>
      <c r="R125" s="612"/>
      <c r="S125" s="612"/>
      <c r="T125" s="612"/>
      <c r="U125" s="612"/>
      <c r="V125" s="612"/>
      <c r="W125" s="382"/>
      <c r="X125" s="382"/>
      <c r="Y125" s="382"/>
      <c r="Z125" s="382"/>
      <c r="AA125" s="382"/>
      <c r="AB125" s="382"/>
      <c r="AC125" s="382"/>
      <c r="AD125" s="382"/>
      <c r="AE125" s="382"/>
      <c r="AF125" s="382"/>
      <c r="AG125" s="382"/>
    </row>
    <row r="126" spans="1:33">
      <c r="A126" s="615"/>
      <c r="B126" s="589"/>
      <c r="C126" s="590"/>
      <c r="D126" s="591"/>
      <c r="E126" s="616"/>
      <c r="F126" s="616"/>
      <c r="G126" s="616"/>
      <c r="H126" s="616"/>
      <c r="I126" s="605" t="s">
        <v>271</v>
      </c>
      <c r="J126" s="605" t="s">
        <v>277</v>
      </c>
      <c r="K126" s="595" t="s">
        <v>281</v>
      </c>
      <c r="L126" s="609"/>
      <c r="M126" s="597"/>
      <c r="N126" s="627"/>
      <c r="O126" s="661"/>
      <c r="P126" s="591"/>
      <c r="Q126" s="612"/>
      <c r="R126" s="612"/>
      <c r="S126" s="612"/>
      <c r="T126" s="612"/>
      <c r="U126" s="612"/>
      <c r="V126" s="612"/>
      <c r="W126" s="382"/>
      <c r="X126" s="382"/>
      <c r="Y126" s="382"/>
      <c r="Z126" s="382"/>
      <c r="AA126" s="382"/>
      <c r="AB126" s="382"/>
      <c r="AC126" s="382"/>
      <c r="AD126" s="382"/>
      <c r="AE126" s="382"/>
      <c r="AF126" s="382"/>
      <c r="AG126" s="382"/>
    </row>
    <row r="127" spans="1:33" ht="129.75" customHeight="1">
      <c r="A127" s="615"/>
      <c r="B127" s="592"/>
      <c r="C127" s="593"/>
      <c r="D127" s="594"/>
      <c r="E127" s="617"/>
      <c r="F127" s="617"/>
      <c r="G127" s="617"/>
      <c r="H127" s="617"/>
      <c r="I127" s="617"/>
      <c r="J127" s="617"/>
      <c r="K127" s="386" t="s">
        <v>278</v>
      </c>
      <c r="L127" s="385" t="s">
        <v>279</v>
      </c>
      <c r="M127" s="385" t="s">
        <v>280</v>
      </c>
      <c r="N127" s="629"/>
      <c r="O127" s="630"/>
      <c r="P127" s="594"/>
      <c r="Q127" s="612"/>
      <c r="R127" s="612"/>
      <c r="S127" s="612"/>
      <c r="T127" s="612"/>
      <c r="U127" s="612"/>
      <c r="V127" s="612"/>
      <c r="W127" s="382"/>
      <c r="X127" s="382"/>
      <c r="Y127" s="382"/>
      <c r="Z127" s="382"/>
      <c r="AA127" s="382"/>
      <c r="AB127" s="382"/>
      <c r="AC127" s="382"/>
      <c r="AD127" s="382"/>
      <c r="AE127" s="382"/>
      <c r="AF127" s="382"/>
      <c r="AG127" s="382"/>
    </row>
    <row r="128" spans="1:33">
      <c r="A128" s="387">
        <v>1</v>
      </c>
      <c r="B128" s="595">
        <v>2</v>
      </c>
      <c r="C128" s="596"/>
      <c r="D128" s="597"/>
      <c r="E128" s="385">
        <v>3</v>
      </c>
      <c r="F128" s="385">
        <v>4</v>
      </c>
      <c r="G128" s="385">
        <v>5</v>
      </c>
      <c r="H128" s="385">
        <v>6</v>
      </c>
      <c r="I128" s="385">
        <v>7</v>
      </c>
      <c r="J128" s="385">
        <v>8</v>
      </c>
      <c r="K128" s="385">
        <v>9</v>
      </c>
      <c r="L128" s="385">
        <v>10</v>
      </c>
      <c r="M128" s="385">
        <v>11</v>
      </c>
      <c r="N128" s="595">
        <v>12</v>
      </c>
      <c r="O128" s="609"/>
      <c r="P128" s="597"/>
      <c r="Q128" s="595">
        <v>13</v>
      </c>
      <c r="R128" s="596"/>
      <c r="S128" s="613"/>
      <c r="T128" s="613"/>
      <c r="U128" s="613"/>
      <c r="V128" s="614"/>
      <c r="W128" s="382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</row>
    <row r="129" spans="1:33" ht="18.75" customHeight="1">
      <c r="A129" s="392"/>
      <c r="B129" s="598"/>
      <c r="C129" s="599"/>
      <c r="D129" s="582"/>
      <c r="E129" s="392"/>
      <c r="F129" s="392"/>
      <c r="G129" s="392"/>
      <c r="H129" s="392"/>
      <c r="I129" s="392"/>
      <c r="J129" s="392"/>
      <c r="K129" s="392"/>
      <c r="L129" s="392"/>
      <c r="M129" s="392"/>
      <c r="N129" s="610"/>
      <c r="O129" s="609"/>
      <c r="P129" s="597"/>
      <c r="Q129" s="610"/>
      <c r="R129" s="611"/>
      <c r="S129" s="609"/>
      <c r="T129" s="609"/>
      <c r="U129" s="609"/>
      <c r="V129" s="597"/>
      <c r="W129" s="337"/>
      <c r="X129" s="337"/>
      <c r="Y129" s="337"/>
      <c r="Z129" s="337"/>
      <c r="AA129" s="337"/>
      <c r="AB129" s="338"/>
      <c r="AC129" s="338"/>
      <c r="AD129" s="338"/>
      <c r="AE129" s="338"/>
      <c r="AF129" s="338"/>
      <c r="AG129" s="338"/>
    </row>
    <row r="130" spans="1:33">
      <c r="A130" s="392"/>
      <c r="B130" s="598"/>
      <c r="C130" s="599"/>
      <c r="D130" s="582"/>
      <c r="E130" s="392"/>
      <c r="F130" s="392"/>
      <c r="G130" s="392"/>
      <c r="H130" s="392"/>
      <c r="I130" s="392"/>
      <c r="J130" s="392"/>
      <c r="K130" s="392"/>
      <c r="L130" s="392"/>
      <c r="M130" s="392"/>
      <c r="N130" s="610"/>
      <c r="O130" s="609"/>
      <c r="P130" s="597"/>
      <c r="Q130" s="610"/>
      <c r="R130" s="611"/>
      <c r="S130" s="609"/>
      <c r="T130" s="609"/>
      <c r="U130" s="609"/>
      <c r="V130" s="597"/>
      <c r="W130" s="337"/>
      <c r="X130" s="337"/>
      <c r="Y130" s="337"/>
      <c r="Z130" s="337"/>
      <c r="AA130" s="337"/>
      <c r="AB130" s="338"/>
      <c r="AC130" s="338"/>
      <c r="AD130" s="338"/>
      <c r="AE130" s="338"/>
      <c r="AF130" s="338"/>
      <c r="AG130" s="338"/>
    </row>
    <row r="131" spans="1:33">
      <c r="A131" s="121" t="s">
        <v>45</v>
      </c>
      <c r="B131" s="580"/>
      <c r="C131" s="581"/>
      <c r="D131" s="582"/>
      <c r="E131" s="121"/>
      <c r="F131" s="121"/>
      <c r="G131" s="385"/>
      <c r="H131" s="385"/>
      <c r="I131" s="385"/>
      <c r="J131" s="385"/>
      <c r="K131" s="385"/>
      <c r="L131" s="385"/>
      <c r="M131" s="385"/>
      <c r="N131" s="595"/>
      <c r="O131" s="609"/>
      <c r="P131" s="597"/>
      <c r="Q131" s="595"/>
      <c r="R131" s="596"/>
      <c r="S131" s="609"/>
      <c r="T131" s="609"/>
      <c r="U131" s="609"/>
      <c r="V131" s="597"/>
      <c r="W131" s="337"/>
      <c r="X131" s="337"/>
      <c r="Y131" s="337"/>
      <c r="Z131" s="337"/>
      <c r="AA131" s="337"/>
      <c r="AB131" s="338"/>
      <c r="AC131" s="338"/>
      <c r="AD131" s="338"/>
      <c r="AE131" s="338"/>
      <c r="AF131" s="338"/>
      <c r="AG131" s="338"/>
    </row>
    <row r="134" spans="1:33" s="120" customFormat="1" ht="54" customHeight="1">
      <c r="A134" s="339" t="s">
        <v>413</v>
      </c>
      <c r="B134" s="340"/>
      <c r="C134" s="652" t="s">
        <v>190</v>
      </c>
      <c r="D134" s="652"/>
      <c r="E134" s="652"/>
      <c r="F134" s="652"/>
      <c r="G134" s="341"/>
      <c r="H134" s="662" t="s">
        <v>414</v>
      </c>
      <c r="I134" s="662"/>
      <c r="J134" s="662"/>
    </row>
    <row r="135" spans="1:33" ht="42.75" customHeight="1">
      <c r="A135" s="379" t="s">
        <v>352</v>
      </c>
      <c r="B135" s="120"/>
      <c r="C135" s="654" t="s">
        <v>227</v>
      </c>
      <c r="D135" s="654"/>
      <c r="E135" s="654"/>
      <c r="F135" s="654"/>
      <c r="G135" s="186"/>
      <c r="H135" s="658" t="s">
        <v>89</v>
      </c>
      <c r="I135" s="658"/>
      <c r="J135" s="658"/>
    </row>
  </sheetData>
  <mergeCells count="173">
    <mergeCell ref="C135:F135"/>
    <mergeCell ref="F39:G39"/>
    <mergeCell ref="G72:H72"/>
    <mergeCell ref="E72:F72"/>
    <mergeCell ref="A2:I2"/>
    <mergeCell ref="A4:I4"/>
    <mergeCell ref="A3:I3"/>
    <mergeCell ref="F33:G33"/>
    <mergeCell ref="F31:G31"/>
    <mergeCell ref="F32:G32"/>
    <mergeCell ref="H14:I14"/>
    <mergeCell ref="H135:J135"/>
    <mergeCell ref="F122:I122"/>
    <mergeCell ref="H17:I17"/>
    <mergeCell ref="H25:I25"/>
    <mergeCell ref="H27:I27"/>
    <mergeCell ref="H30:I30"/>
    <mergeCell ref="H31:I31"/>
    <mergeCell ref="F113:I113"/>
    <mergeCell ref="I73:K73"/>
    <mergeCell ref="J112:N112"/>
    <mergeCell ref="K126:M126"/>
    <mergeCell ref="N125:P127"/>
    <mergeCell ref="H134:J134"/>
    <mergeCell ref="J126:J127"/>
    <mergeCell ref="C134:F134"/>
    <mergeCell ref="H15:I15"/>
    <mergeCell ref="H16:I16"/>
    <mergeCell ref="H88:L88"/>
    <mergeCell ref="H18:I18"/>
    <mergeCell ref="H26:I26"/>
    <mergeCell ref="H24:I24"/>
    <mergeCell ref="H28:I28"/>
    <mergeCell ref="H20:I20"/>
    <mergeCell ref="H21:I21"/>
    <mergeCell ref="H29:I29"/>
    <mergeCell ref="H33:I33"/>
    <mergeCell ref="H32:I32"/>
    <mergeCell ref="H22:I22"/>
    <mergeCell ref="F29:G29"/>
    <mergeCell ref="F30:G30"/>
    <mergeCell ref="F26:G26"/>
    <mergeCell ref="F25:G25"/>
    <mergeCell ref="E73:F73"/>
    <mergeCell ref="B65:D65"/>
    <mergeCell ref="H39:I39"/>
    <mergeCell ref="J39:K39"/>
    <mergeCell ref="I63:K63"/>
    <mergeCell ref="A39:A40"/>
    <mergeCell ref="F15:G15"/>
    <mergeCell ref="F24:G24"/>
    <mergeCell ref="F16:G16"/>
    <mergeCell ref="F17:G17"/>
    <mergeCell ref="F18:G18"/>
    <mergeCell ref="B39:C39"/>
    <mergeCell ref="D39:E39"/>
    <mergeCell ref="F28:G28"/>
    <mergeCell ref="F27:G27"/>
    <mergeCell ref="F20:G20"/>
    <mergeCell ref="F11:G11"/>
    <mergeCell ref="F19:G19"/>
    <mergeCell ref="F23:G23"/>
    <mergeCell ref="F21:G21"/>
    <mergeCell ref="F22:G22"/>
    <mergeCell ref="H9:I9"/>
    <mergeCell ref="H10:I10"/>
    <mergeCell ref="A1:I1"/>
    <mergeCell ref="F14:G14"/>
    <mergeCell ref="F13:G13"/>
    <mergeCell ref="F9:G9"/>
    <mergeCell ref="F10:G10"/>
    <mergeCell ref="H11:I11"/>
    <mergeCell ref="H12:I12"/>
    <mergeCell ref="H13:I13"/>
    <mergeCell ref="H19:I19"/>
    <mergeCell ref="H23:I23"/>
    <mergeCell ref="F12:G12"/>
    <mergeCell ref="I64:K64"/>
    <mergeCell ref="I65:K65"/>
    <mergeCell ref="I66:K66"/>
    <mergeCell ref="Y112:AC112"/>
    <mergeCell ref="O112:S112"/>
    <mergeCell ref="I72:K72"/>
    <mergeCell ref="G73:H73"/>
    <mergeCell ref="I67:K67"/>
    <mergeCell ref="I68:K68"/>
    <mergeCell ref="Z113:AC113"/>
    <mergeCell ref="G88:G89"/>
    <mergeCell ref="Y113:Y114"/>
    <mergeCell ref="P113:S113"/>
    <mergeCell ref="T113:T114"/>
    <mergeCell ref="U113:X113"/>
    <mergeCell ref="K113:N113"/>
    <mergeCell ref="E112:I112"/>
    <mergeCell ref="A88:A89"/>
    <mergeCell ref="A99:A101"/>
    <mergeCell ref="E99:E101"/>
    <mergeCell ref="F99:F101"/>
    <mergeCell ref="E88:E89"/>
    <mergeCell ref="B95:D95"/>
    <mergeCell ref="B99:D101"/>
    <mergeCell ref="F88:F89"/>
    <mergeCell ref="B88:D89"/>
    <mergeCell ref="B90:D90"/>
    <mergeCell ref="W111:AC111"/>
    <mergeCell ref="O113:O114"/>
    <mergeCell ref="J113:J114"/>
    <mergeCell ref="A125:A127"/>
    <mergeCell ref="A86:K86"/>
    <mergeCell ref="A112:A114"/>
    <mergeCell ref="I125:M125"/>
    <mergeCell ref="E125:E127"/>
    <mergeCell ref="F125:F127"/>
    <mergeCell ref="G125:G127"/>
    <mergeCell ref="H125:H127"/>
    <mergeCell ref="B91:D91"/>
    <mergeCell ref="B92:D92"/>
    <mergeCell ref="B103:D103"/>
    <mergeCell ref="B104:D104"/>
    <mergeCell ref="B105:D105"/>
    <mergeCell ref="B116:D116"/>
    <mergeCell ref="A110:G110"/>
    <mergeCell ref="B117:D117"/>
    <mergeCell ref="B118:D118"/>
    <mergeCell ref="E113:E114"/>
    <mergeCell ref="B106:D106"/>
    <mergeCell ref="B107:D107"/>
    <mergeCell ref="B112:D114"/>
    <mergeCell ref="B115:D115"/>
    <mergeCell ref="B119:D119"/>
    <mergeCell ref="I126:I127"/>
    <mergeCell ref="Q130:V130"/>
    <mergeCell ref="Q131:V131"/>
    <mergeCell ref="T112:X112"/>
    <mergeCell ref="N129:P129"/>
    <mergeCell ref="Q125:V127"/>
    <mergeCell ref="Q128:V128"/>
    <mergeCell ref="Q129:V129"/>
    <mergeCell ref="N131:P131"/>
    <mergeCell ref="N130:P130"/>
    <mergeCell ref="N128:P128"/>
    <mergeCell ref="B68:D68"/>
    <mergeCell ref="B72:D72"/>
    <mergeCell ref="B73:D73"/>
    <mergeCell ref="B74:D74"/>
    <mergeCell ref="B75:D75"/>
    <mergeCell ref="B63:D63"/>
    <mergeCell ref="B64:D64"/>
    <mergeCell ref="B66:D66"/>
    <mergeCell ref="B67:D67"/>
    <mergeCell ref="B77:D77"/>
    <mergeCell ref="B76:D76"/>
    <mergeCell ref="B78:D78"/>
    <mergeCell ref="B93:D93"/>
    <mergeCell ref="B94:D94"/>
    <mergeCell ref="B102:D102"/>
    <mergeCell ref="B82:D82"/>
    <mergeCell ref="B83:D83"/>
    <mergeCell ref="A97:I97"/>
    <mergeCell ref="G99:G101"/>
    <mergeCell ref="H99:L99"/>
    <mergeCell ref="H100:H101"/>
    <mergeCell ref="I100:L100"/>
    <mergeCell ref="B131:D131"/>
    <mergeCell ref="B120:D120"/>
    <mergeCell ref="B121:D121"/>
    <mergeCell ref="B125:D127"/>
    <mergeCell ref="B128:D128"/>
    <mergeCell ref="B129:D129"/>
    <mergeCell ref="B130:D130"/>
    <mergeCell ref="B79:D79"/>
    <mergeCell ref="B80:D80"/>
    <mergeCell ref="B81:D81"/>
  </mergeCells>
  <phoneticPr fontId="3" type="noConversion"/>
  <pageMargins left="0.39370078740157483" right="0" top="0.39370078740157483" bottom="0.19685039370078741" header="0.27559055118110237" footer="0.15748031496062992"/>
  <pageSetup paperSize="9" scale="36" fitToHeight="3" orientation="landscape" horizontalDpi="1200" verticalDpi="1200" r:id="rId1"/>
  <headerFooter alignWithMargins="0">
    <oddHeader xml:space="preserve">&amp;C&amp;"Times New Roman,обычный"&amp;14 
13
&amp;R
&amp;"Times New Roman,обычный"&amp;14Продовження додатка 1
</oddHeader>
  </headerFooter>
  <rowBreaks count="1" manualBreakCount="1">
    <brk id="59" max="2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130"/>
  <sheetViews>
    <sheetView zoomScale="70" zoomScaleNormal="70" workbookViewId="0">
      <selection activeCell="A5" sqref="A5:I5"/>
    </sheetView>
  </sheetViews>
  <sheetFormatPr defaultColWidth="18.140625" defaultRowHeight="18.75"/>
  <cols>
    <col min="1" max="1" width="54.7109375" style="122" customWidth="1"/>
    <col min="2" max="2" width="18.140625" style="151" customWidth="1"/>
    <col min="3" max="3" width="16" style="151" customWidth="1"/>
    <col min="4" max="4" width="18.140625" style="151" hidden="1" customWidth="1"/>
    <col min="5" max="5" width="21.85546875" style="122" customWidth="1"/>
    <col min="6" max="6" width="12.85546875" style="122" customWidth="1"/>
    <col min="7" max="7" width="12.5703125" style="122" customWidth="1"/>
    <col min="8" max="8" width="11" style="122" customWidth="1"/>
    <col min="9" max="9" width="13.42578125" style="122" customWidth="1"/>
    <col min="10" max="10" width="15" style="122" customWidth="1"/>
    <col min="11" max="11" width="15.7109375" style="122" customWidth="1"/>
    <col min="12" max="12" width="7" style="2" customWidth="1"/>
    <col min="13" max="13" width="5.42578125" style="2" customWidth="1"/>
    <col min="14" max="14" width="7.28515625" style="2" customWidth="1"/>
    <col min="15" max="15" width="16.28515625" style="2" customWidth="1"/>
    <col min="16" max="16" width="6.5703125" style="2" customWidth="1"/>
    <col min="17" max="17" width="7.85546875" style="2" customWidth="1"/>
    <col min="18" max="18" width="7.5703125" style="2" customWidth="1"/>
    <col min="19" max="19" width="7.28515625" style="2" customWidth="1"/>
    <col min="20" max="20" width="14.42578125" style="2" customWidth="1"/>
    <col min="21" max="21" width="9.140625" style="2" customWidth="1"/>
    <col min="22" max="23" width="8.5703125" style="2" customWidth="1"/>
    <col min="24" max="24" width="7.5703125" style="2" customWidth="1"/>
    <col min="25" max="25" width="15.28515625" style="2" customWidth="1"/>
    <col min="26" max="26" width="7.5703125" style="2" customWidth="1"/>
    <col min="27" max="27" width="9.7109375" style="2" customWidth="1"/>
    <col min="28" max="28" width="8.85546875" style="2" customWidth="1"/>
    <col min="29" max="29" width="9.7109375" style="2" customWidth="1"/>
    <col min="30" max="16384" width="18.140625" style="2"/>
  </cols>
  <sheetData>
    <row r="4" spans="1:15">
      <c r="A4" s="649" t="s">
        <v>108</v>
      </c>
      <c r="B4" s="649"/>
      <c r="C4" s="649"/>
      <c r="D4" s="649"/>
      <c r="E4" s="649"/>
      <c r="F4" s="649"/>
      <c r="G4" s="649"/>
      <c r="H4" s="649"/>
      <c r="I4" s="649"/>
      <c r="J4" s="191"/>
      <c r="K4" s="191"/>
      <c r="L4" s="92"/>
      <c r="M4" s="92"/>
      <c r="N4" s="92"/>
      <c r="O4" s="92"/>
    </row>
    <row r="5" spans="1:15">
      <c r="A5" s="649" t="s">
        <v>341</v>
      </c>
      <c r="B5" s="649"/>
      <c r="C5" s="649"/>
      <c r="D5" s="649"/>
      <c r="E5" s="649"/>
      <c r="F5" s="649"/>
      <c r="G5" s="649"/>
      <c r="H5" s="649"/>
      <c r="I5" s="649"/>
      <c r="J5" s="191"/>
      <c r="K5" s="191"/>
      <c r="L5" s="92"/>
      <c r="M5" s="92"/>
      <c r="N5" s="92"/>
      <c r="O5" s="92"/>
    </row>
    <row r="6" spans="1:15">
      <c r="A6" s="657" t="s">
        <v>343</v>
      </c>
      <c r="B6" s="657"/>
      <c r="C6" s="657"/>
      <c r="D6" s="657"/>
      <c r="E6" s="657"/>
      <c r="F6" s="657"/>
      <c r="G6" s="657"/>
      <c r="H6" s="657"/>
      <c r="I6" s="657"/>
      <c r="J6" s="188"/>
      <c r="K6" s="188"/>
      <c r="L6" s="21"/>
      <c r="M6" s="21"/>
      <c r="N6" s="21"/>
      <c r="O6" s="21"/>
    </row>
    <row r="7" spans="1:15" ht="20.100000000000001" customHeight="1">
      <c r="A7" s="656" t="s">
        <v>115</v>
      </c>
      <c r="B7" s="656"/>
      <c r="C7" s="656"/>
      <c r="D7" s="656"/>
      <c r="E7" s="656"/>
      <c r="F7" s="656"/>
      <c r="G7" s="656"/>
      <c r="H7" s="656"/>
      <c r="I7" s="656"/>
      <c r="J7" s="192"/>
      <c r="K7" s="192"/>
      <c r="L7" s="54"/>
      <c r="M7" s="54"/>
      <c r="N7" s="54"/>
      <c r="O7" s="54"/>
    </row>
    <row r="8" spans="1:15" ht="21.95" customHeight="1">
      <c r="A8" s="117" t="s">
        <v>79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5"/>
      <c r="M8" s="5"/>
      <c r="N8" s="5"/>
      <c r="O8" s="5"/>
    </row>
    <row r="9" spans="1:15" ht="16.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63"/>
      <c r="M9" s="63"/>
      <c r="N9" s="63"/>
      <c r="O9" s="63"/>
    </row>
    <row r="10" spans="1:15" ht="18.75" customHeight="1">
      <c r="A10" s="122" t="s">
        <v>230</v>
      </c>
      <c r="B10" s="122"/>
      <c r="C10" s="122"/>
      <c r="D10" s="122"/>
    </row>
    <row r="11" spans="1:15" ht="18.75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64"/>
      <c r="M11" s="64"/>
      <c r="N11" s="64"/>
      <c r="O11" s="64"/>
    </row>
    <row r="12" spans="1:15" s="3" customFormat="1" ht="69.95" customHeight="1">
      <c r="A12" s="190" t="s">
        <v>196</v>
      </c>
      <c r="B12" s="187" t="s">
        <v>17</v>
      </c>
      <c r="C12" s="187" t="s">
        <v>288</v>
      </c>
      <c r="D12" s="187" t="s">
        <v>283</v>
      </c>
      <c r="E12" s="187" t="s">
        <v>244</v>
      </c>
      <c r="F12" s="612" t="s">
        <v>285</v>
      </c>
      <c r="G12" s="612"/>
      <c r="H12" s="612" t="s">
        <v>289</v>
      </c>
      <c r="I12" s="612"/>
      <c r="J12" s="141"/>
      <c r="K12" s="142"/>
      <c r="L12" s="134"/>
      <c r="M12" s="25"/>
      <c r="N12" s="21"/>
      <c r="O12" s="21"/>
    </row>
    <row r="13" spans="1:15" s="3" customFormat="1" ht="18" customHeight="1">
      <c r="A13" s="190">
        <v>1</v>
      </c>
      <c r="B13" s="190">
        <v>2</v>
      </c>
      <c r="C13" s="190">
        <v>3</v>
      </c>
      <c r="D13" s="190">
        <v>4</v>
      </c>
      <c r="E13" s="190">
        <v>5</v>
      </c>
      <c r="F13" s="612">
        <v>6</v>
      </c>
      <c r="G13" s="612"/>
      <c r="H13" s="612">
        <v>7</v>
      </c>
      <c r="I13" s="664"/>
      <c r="J13" s="120"/>
      <c r="K13" s="120"/>
      <c r="M13" s="25"/>
      <c r="N13" s="21"/>
      <c r="O13" s="21"/>
    </row>
    <row r="14" spans="1:15" s="3" customFormat="1" ht="35.25" customHeight="1">
      <c r="A14" s="189" t="s">
        <v>116</v>
      </c>
      <c r="B14" s="189">
        <f>B15+B16+B17+B18+B19+B20</f>
        <v>182</v>
      </c>
      <c r="C14" s="189">
        <f>C15+C16+C17+C18+C19+C20</f>
        <v>182</v>
      </c>
      <c r="D14" s="189">
        <f>D15+D16+D17+D18+D19+D20</f>
        <v>162</v>
      </c>
      <c r="E14" s="189">
        <f>E15+E16+E17+E18+E19+E20</f>
        <v>162</v>
      </c>
      <c r="F14" s="663">
        <f>E14/D14*100</f>
        <v>100</v>
      </c>
      <c r="G14" s="663"/>
      <c r="H14" s="663">
        <f>E14/B14*100</f>
        <v>89.010989010989007</v>
      </c>
      <c r="I14" s="663"/>
      <c r="J14" s="120"/>
      <c r="K14" s="120"/>
      <c r="M14" s="25"/>
      <c r="N14" s="105"/>
      <c r="O14" s="105"/>
    </row>
    <row r="15" spans="1:15" s="3" customFormat="1" ht="20.100000000000001" customHeight="1">
      <c r="A15" s="121" t="s">
        <v>213</v>
      </c>
      <c r="B15" s="121">
        <v>6</v>
      </c>
      <c r="C15" s="121">
        <v>6</v>
      </c>
      <c r="D15" s="121">
        <f>C15</f>
        <v>6</v>
      </c>
      <c r="E15" s="121">
        <f>D15</f>
        <v>6</v>
      </c>
      <c r="F15" s="663">
        <f t="shared" ref="F15:F36" si="0">E15/D15*100</f>
        <v>100</v>
      </c>
      <c r="G15" s="663"/>
      <c r="H15" s="663">
        <f t="shared" ref="H15:H36" si="1">E15/B15*100</f>
        <v>100</v>
      </c>
      <c r="I15" s="663"/>
      <c r="J15" s="143"/>
      <c r="K15" s="142"/>
      <c r="L15" s="25"/>
      <c r="M15" s="25"/>
      <c r="N15" s="105"/>
      <c r="O15" s="105"/>
    </row>
    <row r="16" spans="1:15" s="3" customFormat="1" ht="20.100000000000001" customHeight="1">
      <c r="A16" s="121" t="s">
        <v>214</v>
      </c>
      <c r="B16" s="121">
        <v>52</v>
      </c>
      <c r="C16" s="121">
        <v>52</v>
      </c>
      <c r="D16" s="121">
        <v>51</v>
      </c>
      <c r="E16" s="121">
        <f>D16</f>
        <v>51</v>
      </c>
      <c r="F16" s="663">
        <f t="shared" si="0"/>
        <v>100</v>
      </c>
      <c r="G16" s="663"/>
      <c r="H16" s="663">
        <f t="shared" si="1"/>
        <v>98.076923076923066</v>
      </c>
      <c r="I16" s="663"/>
      <c r="J16" s="143"/>
      <c r="K16" s="142"/>
      <c r="L16" s="25"/>
      <c r="M16" s="25"/>
      <c r="N16" s="105"/>
      <c r="O16" s="105"/>
    </row>
    <row r="17" spans="1:15" s="3" customFormat="1" ht="20.100000000000001" customHeight="1">
      <c r="A17" s="121" t="s">
        <v>215</v>
      </c>
      <c r="B17" s="121">
        <v>89</v>
      </c>
      <c r="C17" s="121">
        <v>89</v>
      </c>
      <c r="D17" s="121">
        <v>85</v>
      </c>
      <c r="E17" s="121">
        <f>D17</f>
        <v>85</v>
      </c>
      <c r="F17" s="663">
        <f t="shared" si="0"/>
        <v>100</v>
      </c>
      <c r="G17" s="663"/>
      <c r="H17" s="663">
        <f t="shared" si="1"/>
        <v>95.50561797752809</v>
      </c>
      <c r="I17" s="663"/>
      <c r="J17" s="143"/>
      <c r="K17" s="142"/>
      <c r="L17" s="25"/>
      <c r="M17" s="25"/>
      <c r="N17" s="105"/>
      <c r="O17" s="105"/>
    </row>
    <row r="18" spans="1:15" s="3" customFormat="1" ht="20.100000000000001" customHeight="1">
      <c r="A18" s="121" t="s">
        <v>216</v>
      </c>
      <c r="B18" s="121">
        <v>27</v>
      </c>
      <c r="C18" s="121">
        <v>27</v>
      </c>
      <c r="D18" s="121">
        <v>16</v>
      </c>
      <c r="E18" s="121">
        <f>D18</f>
        <v>16</v>
      </c>
      <c r="F18" s="663">
        <f t="shared" si="0"/>
        <v>100</v>
      </c>
      <c r="G18" s="663"/>
      <c r="H18" s="663">
        <f t="shared" si="1"/>
        <v>59.259259259259252</v>
      </c>
      <c r="I18" s="663"/>
      <c r="J18" s="143"/>
      <c r="K18" s="142"/>
      <c r="L18" s="25"/>
      <c r="M18" s="25"/>
      <c r="N18" s="105"/>
      <c r="O18" s="105"/>
    </row>
    <row r="19" spans="1:15" s="3" customFormat="1" ht="20.100000000000001" customHeight="1">
      <c r="A19" s="121" t="s">
        <v>217</v>
      </c>
      <c r="B19" s="121">
        <v>2</v>
      </c>
      <c r="C19" s="121">
        <v>2</v>
      </c>
      <c r="D19" s="121">
        <f>C19</f>
        <v>2</v>
      </c>
      <c r="E19" s="121">
        <f>D19</f>
        <v>2</v>
      </c>
      <c r="F19" s="663"/>
      <c r="G19" s="663"/>
      <c r="H19" s="663">
        <f t="shared" si="1"/>
        <v>100</v>
      </c>
      <c r="I19" s="663"/>
      <c r="J19" s="143"/>
      <c r="K19" s="142"/>
      <c r="L19" s="25"/>
      <c r="M19" s="25"/>
      <c r="N19" s="105"/>
      <c r="O19" s="105"/>
    </row>
    <row r="20" spans="1:15" s="3" customFormat="1" ht="20.100000000000001" customHeight="1">
      <c r="A20" s="121" t="s">
        <v>218</v>
      </c>
      <c r="B20" s="121">
        <v>6</v>
      </c>
      <c r="C20" s="121">
        <v>6</v>
      </c>
      <c r="D20" s="121">
        <v>2</v>
      </c>
      <c r="E20" s="121">
        <f>D20</f>
        <v>2</v>
      </c>
      <c r="F20" s="663">
        <f t="shared" si="0"/>
        <v>100</v>
      </c>
      <c r="G20" s="663"/>
      <c r="H20" s="663">
        <f t="shared" si="1"/>
        <v>33.333333333333329</v>
      </c>
      <c r="I20" s="663"/>
      <c r="J20" s="143"/>
      <c r="K20" s="142"/>
      <c r="L20" s="25"/>
      <c r="M20" s="25"/>
      <c r="N20" s="105"/>
      <c r="O20" s="105"/>
    </row>
    <row r="21" spans="1:15" s="3" customFormat="1" ht="20.100000000000001" customHeight="1">
      <c r="A21" s="189" t="s">
        <v>203</v>
      </c>
      <c r="B21" s="189">
        <f>B22+B23+B24</f>
        <v>5386.5</v>
      </c>
      <c r="C21" s="189">
        <f>C22+C23+C24</f>
        <v>7920.3</v>
      </c>
      <c r="D21" s="189">
        <f>D22+D23+D24</f>
        <v>7920.3</v>
      </c>
      <c r="E21" s="189">
        <f>E22+E23+E24</f>
        <v>7920.3</v>
      </c>
      <c r="F21" s="663">
        <f t="shared" si="0"/>
        <v>100</v>
      </c>
      <c r="G21" s="663"/>
      <c r="H21" s="663">
        <f t="shared" si="1"/>
        <v>147.03982177666387</v>
      </c>
      <c r="I21" s="663"/>
      <c r="J21" s="141"/>
      <c r="K21" s="142"/>
      <c r="L21" s="25"/>
      <c r="M21" s="25"/>
      <c r="N21" s="105"/>
      <c r="O21" s="105"/>
    </row>
    <row r="22" spans="1:15" s="3" customFormat="1" ht="20.100000000000001" customHeight="1">
      <c r="A22" s="121" t="s">
        <v>194</v>
      </c>
      <c r="B22" s="121">
        <f>91.5+22.9</f>
        <v>114.4</v>
      </c>
      <c r="C22" s="121">
        <v>108.9</v>
      </c>
      <c r="D22" s="121">
        <f>C22</f>
        <v>108.9</v>
      </c>
      <c r="E22" s="121">
        <f>C22</f>
        <v>108.9</v>
      </c>
      <c r="F22" s="663">
        <f t="shared" si="0"/>
        <v>100</v>
      </c>
      <c r="G22" s="663"/>
      <c r="H22" s="663">
        <f t="shared" si="1"/>
        <v>95.192307692307693</v>
      </c>
      <c r="I22" s="663"/>
      <c r="J22" s="142"/>
      <c r="K22" s="142"/>
      <c r="L22" s="77"/>
      <c r="M22" s="77"/>
      <c r="N22" s="105"/>
      <c r="O22" s="105"/>
    </row>
    <row r="23" spans="1:15" s="3" customFormat="1" ht="20.100000000000001" customHeight="1">
      <c r="A23" s="121" t="s">
        <v>205</v>
      </c>
      <c r="B23" s="121">
        <f>248.5</f>
        <v>248.5</v>
      </c>
      <c r="C23" s="121">
        <v>432.5</v>
      </c>
      <c r="D23" s="121">
        <f>C23</f>
        <v>432.5</v>
      </c>
      <c r="E23" s="121">
        <f>C23</f>
        <v>432.5</v>
      </c>
      <c r="F23" s="663">
        <f t="shared" si="0"/>
        <v>100</v>
      </c>
      <c r="G23" s="663"/>
      <c r="H23" s="663">
        <f t="shared" si="1"/>
        <v>174.04426559356136</v>
      </c>
      <c r="I23" s="663"/>
      <c r="J23" s="142"/>
      <c r="K23" s="142"/>
      <c r="L23" s="25"/>
      <c r="M23" s="25"/>
      <c r="N23" s="105"/>
      <c r="O23" s="105"/>
    </row>
    <row r="24" spans="1:15" s="3" customFormat="1" ht="20.100000000000001" customHeight="1">
      <c r="A24" s="121" t="s">
        <v>195</v>
      </c>
      <c r="B24" s="121">
        <f>5386.5-B22-B23</f>
        <v>5023.6000000000004</v>
      </c>
      <c r="C24" s="121">
        <f>7920.3-C22-C23</f>
        <v>7378.9000000000005</v>
      </c>
      <c r="D24" s="121">
        <f>C24</f>
        <v>7378.9000000000005</v>
      </c>
      <c r="E24" s="121">
        <f>C24</f>
        <v>7378.9000000000005</v>
      </c>
      <c r="F24" s="663">
        <f t="shared" si="0"/>
        <v>100</v>
      </c>
      <c r="G24" s="663"/>
      <c r="H24" s="663">
        <f t="shared" si="1"/>
        <v>146.88470419619398</v>
      </c>
      <c r="I24" s="663"/>
      <c r="J24" s="142"/>
      <c r="K24" s="144"/>
      <c r="L24" s="25"/>
      <c r="M24" s="25"/>
      <c r="N24" s="105"/>
      <c r="O24" s="105"/>
    </row>
    <row r="25" spans="1:15" s="3" customFormat="1" ht="34.5" customHeight="1">
      <c r="A25" s="189" t="s">
        <v>204</v>
      </c>
      <c r="B25" s="189">
        <f>B26+B27+B28</f>
        <v>6439.6</v>
      </c>
      <c r="C25" s="189">
        <f>C26+C27+C28</f>
        <v>9471.2999999999975</v>
      </c>
      <c r="D25" s="189">
        <f>D26+D27+D28</f>
        <v>9471.2999999999975</v>
      </c>
      <c r="E25" s="189">
        <f>E26+E27+E28</f>
        <v>9471.2999999999975</v>
      </c>
      <c r="F25" s="663">
        <f t="shared" si="0"/>
        <v>100</v>
      </c>
      <c r="G25" s="663"/>
      <c r="H25" s="663">
        <f t="shared" si="1"/>
        <v>147.07901111870299</v>
      </c>
      <c r="I25" s="663"/>
      <c r="J25" s="142"/>
      <c r="K25" s="144"/>
      <c r="L25" s="25"/>
      <c r="M25" s="25"/>
      <c r="N25" s="105"/>
      <c r="O25" s="105"/>
    </row>
    <row r="26" spans="1:15" s="3" customFormat="1" ht="20.100000000000001" customHeight="1">
      <c r="A26" s="121" t="s">
        <v>194</v>
      </c>
      <c r="B26" s="121">
        <f>B22+(17.8)</f>
        <v>132.20000000000002</v>
      </c>
      <c r="C26" s="121">
        <f>108.9+21.3</f>
        <v>130.20000000000002</v>
      </c>
      <c r="D26" s="121">
        <f>C26</f>
        <v>130.20000000000002</v>
      </c>
      <c r="E26" s="121">
        <f>C26</f>
        <v>130.20000000000002</v>
      </c>
      <c r="F26" s="663">
        <f t="shared" si="0"/>
        <v>100</v>
      </c>
      <c r="G26" s="663"/>
      <c r="H26" s="663">
        <f t="shared" si="1"/>
        <v>98.487140695915272</v>
      </c>
      <c r="I26" s="663"/>
      <c r="J26" s="188"/>
      <c r="K26" s="120"/>
      <c r="L26" s="25"/>
      <c r="M26" s="25"/>
      <c r="N26" s="105"/>
      <c r="O26" s="105"/>
    </row>
    <row r="27" spans="1:15" s="3" customFormat="1" ht="20.100000000000001" customHeight="1">
      <c r="A27" s="121" t="s">
        <v>205</v>
      </c>
      <c r="B27" s="121">
        <f>(248.5+48.5)</f>
        <v>297</v>
      </c>
      <c r="C27" s="121">
        <f>432.5+28.7</f>
        <v>461.2</v>
      </c>
      <c r="D27" s="121">
        <f>C27</f>
        <v>461.2</v>
      </c>
      <c r="E27" s="121">
        <f>C27</f>
        <v>461.2</v>
      </c>
      <c r="F27" s="663">
        <f t="shared" si="0"/>
        <v>100</v>
      </c>
      <c r="G27" s="663"/>
      <c r="H27" s="663">
        <f t="shared" si="1"/>
        <v>155.28619528619527</v>
      </c>
      <c r="I27" s="663"/>
      <c r="J27" s="142"/>
      <c r="K27" s="144"/>
      <c r="L27" s="25"/>
      <c r="M27" s="25"/>
      <c r="N27" s="105"/>
      <c r="O27" s="105"/>
    </row>
    <row r="28" spans="1:15" s="3" customFormat="1" ht="20.100000000000001" customHeight="1">
      <c r="A28" s="121" t="s">
        <v>195</v>
      </c>
      <c r="B28" s="121">
        <f>6439.6-B26-B27</f>
        <v>6010.4000000000005</v>
      </c>
      <c r="C28" s="121">
        <f>9471.3-C26-C27</f>
        <v>8879.8999999999978</v>
      </c>
      <c r="D28" s="121">
        <f>C28</f>
        <v>8879.8999999999978</v>
      </c>
      <c r="E28" s="121">
        <f>C28</f>
        <v>8879.8999999999978</v>
      </c>
      <c r="F28" s="663">
        <f t="shared" si="0"/>
        <v>100</v>
      </c>
      <c r="G28" s="663"/>
      <c r="H28" s="663">
        <f t="shared" si="1"/>
        <v>147.74224677226135</v>
      </c>
      <c r="I28" s="663"/>
      <c r="J28" s="142"/>
      <c r="K28" s="144"/>
      <c r="L28" s="25"/>
      <c r="M28" s="25"/>
      <c r="N28" s="105"/>
      <c r="O28" s="105"/>
    </row>
    <row r="29" spans="1:15" s="3" customFormat="1" ht="38.25" customHeight="1">
      <c r="A29" s="189" t="s">
        <v>219</v>
      </c>
      <c r="B29" s="145">
        <f>B21/B14/6*1000</f>
        <v>4932.6923076923076</v>
      </c>
      <c r="C29" s="145">
        <f>C21/C14/6*1000</f>
        <v>7253.0219780219777</v>
      </c>
      <c r="D29" s="145">
        <f>D21/D14/6*1000</f>
        <v>8148.4567901234559</v>
      </c>
      <c r="E29" s="145">
        <f>E21/E14/6*1000</f>
        <v>8148.4567901234559</v>
      </c>
      <c r="F29" s="663">
        <f t="shared" si="0"/>
        <v>100</v>
      </c>
      <c r="G29" s="663"/>
      <c r="H29" s="663">
        <f t="shared" si="1"/>
        <v>165.19288619353597</v>
      </c>
      <c r="I29" s="663"/>
      <c r="J29" s="146"/>
      <c r="K29" s="146"/>
      <c r="L29" s="134"/>
      <c r="M29" s="25"/>
      <c r="N29" s="105"/>
      <c r="O29" s="105"/>
    </row>
    <row r="30" spans="1:15" s="3" customFormat="1" ht="20.100000000000001" customHeight="1">
      <c r="A30" s="121" t="s">
        <v>194</v>
      </c>
      <c r="B30" s="147">
        <f>B22/1/6*1000</f>
        <v>19066.666666666668</v>
      </c>
      <c r="C30" s="147">
        <f>C22/1/6*1000</f>
        <v>18150.000000000004</v>
      </c>
      <c r="D30" s="147">
        <f>D22/1/6*1000</f>
        <v>18150.000000000004</v>
      </c>
      <c r="E30" s="147">
        <f>E22/1/6*1000</f>
        <v>18150.000000000004</v>
      </c>
      <c r="F30" s="663">
        <f t="shared" si="0"/>
        <v>100</v>
      </c>
      <c r="G30" s="663"/>
      <c r="H30" s="663">
        <f t="shared" si="1"/>
        <v>95.192307692307708</v>
      </c>
      <c r="I30" s="663"/>
      <c r="J30" s="142"/>
      <c r="K30" s="142"/>
      <c r="L30" s="25"/>
      <c r="M30" s="25"/>
      <c r="N30" s="105"/>
      <c r="O30" s="105"/>
    </row>
    <row r="31" spans="1:15" s="3" customFormat="1" ht="20.100000000000001" customHeight="1">
      <c r="A31" s="121" t="s">
        <v>205</v>
      </c>
      <c r="B31" s="147">
        <f>B23/4/6*1000</f>
        <v>10354.166666666666</v>
      </c>
      <c r="C31" s="147">
        <f>C23/4/6*1000</f>
        <v>18020.833333333332</v>
      </c>
      <c r="D31" s="147">
        <f>D23/4/6*1000</f>
        <v>18020.833333333332</v>
      </c>
      <c r="E31" s="147">
        <f>E23/4/6*1000</f>
        <v>18020.833333333332</v>
      </c>
      <c r="F31" s="663">
        <f t="shared" si="0"/>
        <v>100</v>
      </c>
      <c r="G31" s="663"/>
      <c r="H31" s="663">
        <f t="shared" si="1"/>
        <v>174.04426559356136</v>
      </c>
      <c r="I31" s="663"/>
      <c r="J31" s="142"/>
      <c r="K31" s="142"/>
      <c r="L31" s="25"/>
      <c r="M31" s="25"/>
      <c r="N31" s="105"/>
      <c r="O31" s="105"/>
    </row>
    <row r="32" spans="1:15" s="3" customFormat="1" ht="20.100000000000001" customHeight="1">
      <c r="A32" s="121" t="s">
        <v>195</v>
      </c>
      <c r="B32" s="147">
        <f>B24/(B14-5)/6*1000</f>
        <v>4730.320150659134</v>
      </c>
      <c r="C32" s="147">
        <f>C24/(C14-5)/6*1000</f>
        <v>6948.116760828626</v>
      </c>
      <c r="D32" s="147">
        <f>D24/(D14-5)/6*1000</f>
        <v>7833.2271762208065</v>
      </c>
      <c r="E32" s="147">
        <f>E24/(E14-5)/6*1000</f>
        <v>7833.2271762208065</v>
      </c>
      <c r="F32" s="663">
        <f t="shared" si="0"/>
        <v>100</v>
      </c>
      <c r="G32" s="663"/>
      <c r="H32" s="663">
        <f t="shared" si="1"/>
        <v>165.59613148233331</v>
      </c>
      <c r="I32" s="663"/>
      <c r="J32" s="142"/>
      <c r="K32" s="142"/>
      <c r="L32" s="25"/>
      <c r="M32" s="25"/>
      <c r="N32" s="105"/>
      <c r="O32" s="105"/>
    </row>
    <row r="33" spans="1:23" s="3" customFormat="1" ht="37.700000000000003" customHeight="1">
      <c r="A33" s="189" t="s">
        <v>220</v>
      </c>
      <c r="B33" s="189"/>
      <c r="C33" s="189"/>
      <c r="D33" s="189"/>
      <c r="E33" s="189"/>
      <c r="F33" s="663" t="e">
        <f>E33/D33*100</f>
        <v>#DIV/0!</v>
      </c>
      <c r="G33" s="663"/>
      <c r="H33" s="663" t="e">
        <f t="shared" si="1"/>
        <v>#DIV/0!</v>
      </c>
      <c r="I33" s="663"/>
      <c r="J33" s="142"/>
      <c r="K33" s="142"/>
      <c r="L33" s="25"/>
      <c r="M33" s="25"/>
      <c r="N33" s="105"/>
      <c r="O33" s="105"/>
      <c r="Q33" s="40"/>
    </row>
    <row r="34" spans="1:23" s="3" customFormat="1" ht="20.100000000000001" customHeight="1">
      <c r="A34" s="121" t="s">
        <v>194</v>
      </c>
      <c r="B34" s="115"/>
      <c r="C34" s="116"/>
      <c r="D34" s="115"/>
      <c r="E34" s="115"/>
      <c r="F34" s="663" t="e">
        <f t="shared" si="0"/>
        <v>#DIV/0!</v>
      </c>
      <c r="G34" s="663"/>
      <c r="H34" s="663" t="e">
        <f t="shared" si="1"/>
        <v>#DIV/0!</v>
      </c>
      <c r="I34" s="663"/>
      <c r="J34" s="142"/>
      <c r="K34" s="142"/>
      <c r="L34" s="25"/>
      <c r="M34" s="25"/>
      <c r="N34" s="105"/>
      <c r="O34" s="105"/>
    </row>
    <row r="35" spans="1:23" s="3" customFormat="1" ht="20.100000000000001" customHeight="1">
      <c r="A35" s="121" t="s">
        <v>205</v>
      </c>
      <c r="B35" s="115"/>
      <c r="C35" s="115"/>
      <c r="D35" s="115"/>
      <c r="E35" s="115"/>
      <c r="F35" s="663" t="e">
        <f t="shared" si="0"/>
        <v>#DIV/0!</v>
      </c>
      <c r="G35" s="663"/>
      <c r="H35" s="663" t="e">
        <f t="shared" si="1"/>
        <v>#DIV/0!</v>
      </c>
      <c r="I35" s="663"/>
      <c r="J35" s="142"/>
      <c r="K35" s="142"/>
      <c r="L35" s="25"/>
      <c r="M35" s="25"/>
      <c r="N35" s="105"/>
      <c r="O35" s="105"/>
    </row>
    <row r="36" spans="1:23" s="3" customFormat="1" ht="20.100000000000001" customHeight="1">
      <c r="A36" s="121" t="s">
        <v>195</v>
      </c>
      <c r="B36" s="115"/>
      <c r="C36" s="115"/>
      <c r="D36" s="115"/>
      <c r="E36" s="115"/>
      <c r="F36" s="663" t="e">
        <f t="shared" si="0"/>
        <v>#DIV/0!</v>
      </c>
      <c r="G36" s="663"/>
      <c r="H36" s="663" t="e">
        <f t="shared" si="1"/>
        <v>#DIV/0!</v>
      </c>
      <c r="I36" s="663"/>
      <c r="J36" s="142"/>
      <c r="K36" s="142"/>
      <c r="L36" s="25"/>
      <c r="M36" s="25"/>
      <c r="N36" s="105"/>
      <c r="O36" s="105"/>
    </row>
    <row r="37" spans="1:23" ht="16.5" customHeight="1">
      <c r="A37" s="148"/>
      <c r="B37" s="148"/>
      <c r="C37" s="148"/>
      <c r="D37" s="148"/>
      <c r="E37" s="148"/>
      <c r="F37" s="149"/>
      <c r="G37" s="149"/>
      <c r="H37" s="149"/>
      <c r="I37" s="149"/>
      <c r="J37" s="149"/>
      <c r="K37" s="149"/>
      <c r="L37" s="20"/>
      <c r="M37" s="20"/>
      <c r="N37" s="20"/>
      <c r="O37" s="20"/>
    </row>
    <row r="38" spans="1:23" ht="15" customHeight="1">
      <c r="A38" s="149"/>
      <c r="B38" s="149"/>
      <c r="C38" s="149"/>
      <c r="D38" s="149"/>
      <c r="E38" s="149"/>
      <c r="F38" s="149"/>
      <c r="G38" s="149"/>
      <c r="H38" s="149"/>
      <c r="I38" s="149"/>
    </row>
    <row r="39" spans="1:23" ht="108" customHeight="1">
      <c r="A39" s="192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21"/>
      <c r="M39" s="21"/>
      <c r="N39" s="21"/>
      <c r="O39" s="21"/>
    </row>
    <row r="40" spans="1:23" ht="21.95" customHeight="1">
      <c r="A40" s="196" t="s">
        <v>263</v>
      </c>
      <c r="B40" s="196"/>
      <c r="C40" s="196"/>
      <c r="D40" s="196"/>
      <c r="E40" s="196"/>
      <c r="F40" s="196"/>
      <c r="G40" s="196"/>
      <c r="H40" s="196"/>
      <c r="I40" s="196"/>
      <c r="J40" s="196"/>
    </row>
    <row r="41" spans="1:23" ht="20.100000000000001" customHeight="1">
      <c r="A41" s="150"/>
    </row>
    <row r="42" spans="1:23" ht="71.25" customHeight="1">
      <c r="A42" s="612" t="s">
        <v>196</v>
      </c>
      <c r="B42" s="595" t="s">
        <v>221</v>
      </c>
      <c r="C42" s="597"/>
      <c r="D42" s="595" t="s">
        <v>326</v>
      </c>
      <c r="E42" s="597"/>
      <c r="F42" s="595" t="s">
        <v>328</v>
      </c>
      <c r="G42" s="608"/>
      <c r="H42" s="595" t="s">
        <v>286</v>
      </c>
      <c r="I42" s="597"/>
      <c r="J42" s="595" t="s">
        <v>327</v>
      </c>
      <c r="K42" s="597"/>
      <c r="M42" s="40"/>
      <c r="N42" s="40"/>
      <c r="O42" s="40"/>
    </row>
    <row r="43" spans="1:23" ht="163.69999999999999" customHeight="1">
      <c r="A43" s="612"/>
      <c r="B43" s="187" t="s">
        <v>62</v>
      </c>
      <c r="C43" s="187" t="s">
        <v>63</v>
      </c>
      <c r="D43" s="187" t="s">
        <v>222</v>
      </c>
      <c r="E43" s="187" t="s">
        <v>347</v>
      </c>
      <c r="F43" s="187" t="s">
        <v>222</v>
      </c>
      <c r="G43" s="187" t="s">
        <v>347</v>
      </c>
      <c r="H43" s="187" t="s">
        <v>222</v>
      </c>
      <c r="I43" s="187" t="s">
        <v>347</v>
      </c>
      <c r="J43" s="187" t="s">
        <v>222</v>
      </c>
      <c r="K43" s="187" t="s">
        <v>347</v>
      </c>
      <c r="L43" s="130"/>
      <c r="M43" s="40"/>
      <c r="N43" s="40"/>
    </row>
    <row r="44" spans="1:23" ht="18" customHeight="1">
      <c r="A44" s="187">
        <v>1</v>
      </c>
      <c r="B44" s="187">
        <v>2</v>
      </c>
      <c r="C44" s="187">
        <v>3</v>
      </c>
      <c r="D44" s="187">
        <v>4</v>
      </c>
      <c r="E44" s="187">
        <v>5</v>
      </c>
      <c r="F44" s="187">
        <v>6</v>
      </c>
      <c r="G44" s="187">
        <v>7</v>
      </c>
      <c r="H44" s="187">
        <v>8</v>
      </c>
      <c r="I44" s="187">
        <v>9</v>
      </c>
      <c r="J44" s="187">
        <v>10</v>
      </c>
      <c r="K44" s="187">
        <v>11</v>
      </c>
      <c r="L44" s="21"/>
      <c r="M44" s="21"/>
      <c r="N44" s="21"/>
      <c r="O44" s="21"/>
    </row>
    <row r="45" spans="1:23" s="122" customFormat="1" ht="82.5" customHeight="1">
      <c r="A45" s="119" t="s">
        <v>318</v>
      </c>
      <c r="B45" s="123">
        <f>D45/$D$54*100</f>
        <v>0</v>
      </c>
      <c r="C45" s="123">
        <f>F45/$F$54*100</f>
        <v>67.352459924771352</v>
      </c>
      <c r="D45" s="187"/>
      <c r="E45" s="187"/>
      <c r="F45" s="187">
        <v>10331.799999999999</v>
      </c>
      <c r="G45" s="187">
        <v>55102</v>
      </c>
      <c r="H45" s="187"/>
      <c r="I45" s="187"/>
      <c r="J45" s="187">
        <v>10331.799999999999</v>
      </c>
      <c r="K45" s="187">
        <v>55102</v>
      </c>
      <c r="L45" s="21"/>
      <c r="M45" s="21"/>
      <c r="N45" s="21"/>
      <c r="O45" s="21"/>
      <c r="P45" s="2"/>
      <c r="Q45" s="2"/>
      <c r="R45" s="2"/>
      <c r="S45" s="2"/>
      <c r="T45" s="2"/>
      <c r="U45" s="2"/>
      <c r="V45" s="2"/>
      <c r="W45" s="2"/>
    </row>
    <row r="46" spans="1:23" s="122" customFormat="1" ht="125.25" customHeight="1">
      <c r="A46" s="119" t="s">
        <v>319</v>
      </c>
      <c r="B46" s="123">
        <f t="shared" ref="B46:B53" si="2">D46/$D$54*100</f>
        <v>0.75342531241335131</v>
      </c>
      <c r="C46" s="123">
        <f>F46/$F$54*100</f>
        <v>4.3227139681484239</v>
      </c>
      <c r="D46" s="187">
        <v>78.8</v>
      </c>
      <c r="E46" s="187">
        <v>377</v>
      </c>
      <c r="F46" s="187">
        <v>663.1</v>
      </c>
      <c r="G46" s="187">
        <v>377</v>
      </c>
      <c r="H46" s="187"/>
      <c r="I46" s="187"/>
      <c r="J46" s="187">
        <f t="shared" ref="J46:K50" si="3">F46</f>
        <v>663.1</v>
      </c>
      <c r="K46" s="187">
        <f t="shared" si="3"/>
        <v>377</v>
      </c>
      <c r="L46" s="131"/>
      <c r="M46" s="21"/>
      <c r="N46" s="21"/>
      <c r="O46" s="132"/>
      <c r="P46" s="133"/>
      <c r="Q46" s="2"/>
      <c r="R46" s="2"/>
      <c r="S46" s="2"/>
      <c r="T46" s="2"/>
      <c r="U46" s="2"/>
      <c r="V46" s="2"/>
      <c r="W46" s="2"/>
    </row>
    <row r="47" spans="1:23" s="122" customFormat="1" ht="92.25" customHeight="1">
      <c r="A47" s="119" t="s">
        <v>320</v>
      </c>
      <c r="B47" s="123">
        <f t="shared" si="2"/>
        <v>3.725057128378702</v>
      </c>
      <c r="C47" s="123">
        <f t="shared" ref="C47:C53" si="4">F47/$F$54*100</f>
        <v>4.5169785982959478</v>
      </c>
      <c r="D47" s="187">
        <v>389.6</v>
      </c>
      <c r="E47" s="187">
        <v>5628</v>
      </c>
      <c r="F47" s="187">
        <v>692.9</v>
      </c>
      <c r="G47" s="187">
        <v>5628</v>
      </c>
      <c r="H47" s="187"/>
      <c r="I47" s="187"/>
      <c r="J47" s="187">
        <f t="shared" si="3"/>
        <v>692.9</v>
      </c>
      <c r="K47" s="187">
        <f t="shared" si="3"/>
        <v>5628</v>
      </c>
      <c r="L47" s="131"/>
      <c r="M47" s="21"/>
      <c r="N47" s="21"/>
      <c r="O47" s="132"/>
      <c r="P47" s="133"/>
      <c r="Q47" s="2"/>
      <c r="R47" s="2"/>
      <c r="S47" s="2"/>
      <c r="T47" s="2"/>
      <c r="U47" s="2"/>
      <c r="V47" s="2"/>
      <c r="W47" s="2"/>
    </row>
    <row r="48" spans="1:23" s="122" customFormat="1" ht="80.25" customHeight="1">
      <c r="A48" s="119" t="s">
        <v>321</v>
      </c>
      <c r="B48" s="123">
        <f t="shared" si="2"/>
        <v>14.531164845251412</v>
      </c>
      <c r="C48" s="123">
        <f t="shared" si="4"/>
        <v>3.1264871348574634</v>
      </c>
      <c r="D48" s="187">
        <v>1519.8</v>
      </c>
      <c r="E48" s="187">
        <v>55102</v>
      </c>
      <c r="F48" s="187">
        <v>479.6</v>
      </c>
      <c r="G48" s="187">
        <v>55102</v>
      </c>
      <c r="H48" s="187"/>
      <c r="I48" s="187"/>
      <c r="J48" s="187">
        <f t="shared" si="3"/>
        <v>479.6</v>
      </c>
      <c r="K48" s="187">
        <f t="shared" si="3"/>
        <v>55102</v>
      </c>
      <c r="L48" s="2"/>
      <c r="M48" s="21"/>
      <c r="N48" s="21"/>
      <c r="O48" s="137"/>
      <c r="P48" s="138"/>
      <c r="Q48" s="2"/>
      <c r="R48" s="2"/>
      <c r="S48" s="2"/>
      <c r="T48" s="2"/>
      <c r="U48" s="2"/>
      <c r="V48" s="2"/>
      <c r="W48" s="2"/>
    </row>
    <row r="49" spans="1:23" s="122" customFormat="1" ht="98.25" customHeight="1">
      <c r="A49" s="119" t="s">
        <v>346</v>
      </c>
      <c r="B49" s="123">
        <f t="shared" si="2"/>
        <v>3.8493531824570466</v>
      </c>
      <c r="C49" s="123">
        <f t="shared" si="4"/>
        <v>3.1062783981642648</v>
      </c>
      <c r="D49" s="187">
        <v>402.6</v>
      </c>
      <c r="E49" s="187">
        <f>67+1</f>
        <v>68</v>
      </c>
      <c r="F49" s="187">
        <v>476.5</v>
      </c>
      <c r="G49" s="187">
        <f>67+1</f>
        <v>68</v>
      </c>
      <c r="H49" s="187"/>
      <c r="I49" s="187"/>
      <c r="J49" s="187">
        <f t="shared" si="3"/>
        <v>476.5</v>
      </c>
      <c r="K49" s="187">
        <f t="shared" si="3"/>
        <v>68</v>
      </c>
      <c r="L49" s="138"/>
      <c r="M49" s="21"/>
      <c r="N49" s="21"/>
      <c r="O49" s="137"/>
      <c r="P49" s="138"/>
      <c r="Q49" s="2"/>
      <c r="R49" s="2"/>
      <c r="S49" s="2"/>
      <c r="T49" s="2"/>
      <c r="U49" s="2"/>
      <c r="V49" s="2"/>
      <c r="W49" s="2"/>
    </row>
    <row r="50" spans="1:23" s="122" customFormat="1" ht="72.75" customHeight="1">
      <c r="A50" s="119" t="s">
        <v>322</v>
      </c>
      <c r="B50" s="123">
        <f t="shared" si="2"/>
        <v>18.599470307584927</v>
      </c>
      <c r="C50" s="123">
        <f t="shared" si="4"/>
        <v>15.619397779646544</v>
      </c>
      <c r="D50" s="187">
        <v>1945.3</v>
      </c>
      <c r="E50" s="187">
        <v>12</v>
      </c>
      <c r="F50" s="187">
        <v>2396</v>
      </c>
      <c r="G50" s="187">
        <v>11</v>
      </c>
      <c r="H50" s="187"/>
      <c r="I50" s="187"/>
      <c r="J50" s="187">
        <f t="shared" si="3"/>
        <v>2396</v>
      </c>
      <c r="K50" s="187">
        <f t="shared" si="3"/>
        <v>11</v>
      </c>
      <c r="L50" s="2"/>
      <c r="M50" s="21"/>
      <c r="N50" s="21"/>
      <c r="O50" s="137"/>
      <c r="P50" s="138"/>
      <c r="Q50" s="2"/>
      <c r="R50" s="2"/>
      <c r="S50" s="2"/>
      <c r="T50" s="2"/>
      <c r="U50" s="2"/>
      <c r="V50" s="2"/>
      <c r="W50" s="2"/>
    </row>
    <row r="51" spans="1:23" s="122" customFormat="1" ht="73.7" customHeight="1">
      <c r="A51" s="119" t="s">
        <v>323</v>
      </c>
      <c r="B51" s="123">
        <f t="shared" si="2"/>
        <v>0</v>
      </c>
      <c r="C51" s="123">
        <f t="shared" si="4"/>
        <v>0</v>
      </c>
      <c r="D51" s="187"/>
      <c r="E51" s="187"/>
      <c r="F51" s="187"/>
      <c r="G51" s="187"/>
      <c r="H51" s="187"/>
      <c r="I51" s="187"/>
      <c r="J51" s="187"/>
      <c r="K51" s="187"/>
      <c r="L51" s="2"/>
      <c r="M51" s="21"/>
      <c r="N51" s="21"/>
      <c r="O51" s="137"/>
      <c r="P51" s="138"/>
      <c r="Q51" s="2"/>
      <c r="R51" s="2"/>
      <c r="S51" s="2"/>
      <c r="T51" s="2"/>
      <c r="U51" s="2"/>
      <c r="V51" s="2"/>
      <c r="W51" s="2"/>
    </row>
    <row r="52" spans="1:23" ht="72.75" customHeight="1">
      <c r="A52" s="119" t="s">
        <v>324</v>
      </c>
      <c r="B52" s="123">
        <f t="shared" si="2"/>
        <v>54.716079128780272</v>
      </c>
      <c r="C52" s="123">
        <f t="shared" si="4"/>
        <v>0</v>
      </c>
      <c r="D52" s="187">
        <v>5722.7</v>
      </c>
      <c r="E52" s="187">
        <v>55102</v>
      </c>
      <c r="F52" s="187"/>
      <c r="G52" s="187"/>
      <c r="H52" s="187"/>
      <c r="I52" s="187"/>
      <c r="J52" s="187"/>
      <c r="K52" s="187"/>
      <c r="M52" s="21"/>
      <c r="N52" s="21"/>
      <c r="O52" s="21"/>
    </row>
    <row r="53" spans="1:23" ht="23.45" customHeight="1">
      <c r="A53" s="118" t="s">
        <v>325</v>
      </c>
      <c r="B53" s="123">
        <f t="shared" si="2"/>
        <v>3.8254500951342876</v>
      </c>
      <c r="C53" s="123">
        <f t="shared" si="4"/>
        <v>1.9556841961160112</v>
      </c>
      <c r="D53" s="112">
        <v>400.1</v>
      </c>
      <c r="E53" s="193">
        <v>1622</v>
      </c>
      <c r="F53" s="112">
        <v>300</v>
      </c>
      <c r="G53" s="193">
        <v>1216</v>
      </c>
      <c r="H53" s="112"/>
      <c r="I53" s="193"/>
      <c r="J53" s="112">
        <v>300</v>
      </c>
      <c r="K53" s="193">
        <v>1216</v>
      </c>
      <c r="M53" s="114"/>
      <c r="N53" s="113"/>
      <c r="O53" s="77"/>
    </row>
    <row r="54" spans="1:23" ht="23.45" customHeight="1">
      <c r="A54" s="121" t="s">
        <v>45</v>
      </c>
      <c r="B54" s="112">
        <f>SUM(B45:B53)</f>
        <v>100</v>
      </c>
      <c r="C54" s="112">
        <f>SUM(C45:C53)</f>
        <v>100.00000000000001</v>
      </c>
      <c r="D54" s="112">
        <f>SUM(D45:D53)</f>
        <v>10458.9</v>
      </c>
      <c r="E54" s="112"/>
      <c r="F54" s="112">
        <f>SUM(F45:F53)</f>
        <v>15339.9</v>
      </c>
      <c r="G54" s="112"/>
      <c r="H54" s="112"/>
      <c r="I54" s="112"/>
      <c r="J54" s="112">
        <f>SUM(J45:J53)</f>
        <v>15339.9</v>
      </c>
      <c r="K54" s="112"/>
      <c r="M54" s="78"/>
      <c r="N54" s="78"/>
      <c r="O54" s="78"/>
    </row>
    <row r="55" spans="1:23" ht="81.75" customHeight="1">
      <c r="A55" s="152"/>
      <c r="B55" s="153"/>
      <c r="C55" s="153"/>
      <c r="D55" s="153"/>
      <c r="E55" s="153"/>
      <c r="F55" s="153"/>
      <c r="G55" s="153"/>
      <c r="H55" s="135"/>
      <c r="I55" s="135"/>
      <c r="J55" s="117"/>
      <c r="K55" s="117"/>
      <c r="M55" s="5"/>
      <c r="N55" s="5"/>
      <c r="O55" s="5"/>
    </row>
    <row r="56" spans="1:23" ht="21.95" customHeight="1">
      <c r="A56" s="117" t="s">
        <v>241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M56" s="5"/>
      <c r="N56" s="5"/>
      <c r="O56" s="5"/>
    </row>
    <row r="57" spans="1:23" ht="20.100000000000001" customHeight="1">
      <c r="A57" s="150"/>
    </row>
    <row r="58" spans="1:23" ht="81.75" customHeight="1">
      <c r="A58" s="187" t="s">
        <v>112</v>
      </c>
      <c r="B58" s="595" t="s">
        <v>60</v>
      </c>
      <c r="C58" s="596"/>
      <c r="D58" s="597"/>
      <c r="E58" s="187" t="s">
        <v>245</v>
      </c>
      <c r="F58" s="187" t="s">
        <v>56</v>
      </c>
      <c r="G58" s="187" t="s">
        <v>223</v>
      </c>
      <c r="H58" s="187" t="s">
        <v>76</v>
      </c>
      <c r="I58" s="595" t="s">
        <v>23</v>
      </c>
      <c r="J58" s="609"/>
      <c r="K58" s="597"/>
      <c r="L58" s="40"/>
      <c r="M58" s="40"/>
      <c r="N58" s="40"/>
      <c r="O58" s="40"/>
    </row>
    <row r="59" spans="1:23" ht="18" customHeight="1">
      <c r="A59" s="190">
        <v>1</v>
      </c>
      <c r="B59" s="595">
        <v>2</v>
      </c>
      <c r="C59" s="596"/>
      <c r="D59" s="597"/>
      <c r="E59" s="190">
        <v>3</v>
      </c>
      <c r="F59" s="190">
        <v>4</v>
      </c>
      <c r="G59" s="190">
        <v>5</v>
      </c>
      <c r="H59" s="154">
        <v>6</v>
      </c>
      <c r="I59" s="595">
        <v>7</v>
      </c>
      <c r="J59" s="609"/>
      <c r="K59" s="614"/>
      <c r="L59" s="21"/>
      <c r="M59" s="21"/>
      <c r="N59" s="21"/>
      <c r="O59" s="21"/>
    </row>
    <row r="60" spans="1:23" ht="20.100000000000001" customHeight="1">
      <c r="A60" s="121"/>
      <c r="B60" s="610"/>
      <c r="C60" s="611"/>
      <c r="D60" s="597"/>
      <c r="E60" s="193"/>
      <c r="F60" s="193"/>
      <c r="G60" s="193"/>
      <c r="H60" s="112"/>
      <c r="I60" s="595"/>
      <c r="J60" s="609"/>
      <c r="K60" s="597"/>
      <c r="L60" s="77"/>
      <c r="M60" s="77"/>
      <c r="N60" s="77"/>
      <c r="O60" s="77"/>
    </row>
    <row r="61" spans="1:23" ht="20.100000000000001" customHeight="1">
      <c r="A61" s="121"/>
      <c r="B61" s="610"/>
      <c r="C61" s="611"/>
      <c r="D61" s="597"/>
      <c r="E61" s="155"/>
      <c r="F61" s="193"/>
      <c r="G61" s="155"/>
      <c r="H61" s="156"/>
      <c r="I61" s="595"/>
      <c r="J61" s="609"/>
      <c r="K61" s="597"/>
      <c r="L61" s="77"/>
      <c r="M61" s="77"/>
      <c r="N61" s="77"/>
      <c r="O61" s="77"/>
    </row>
    <row r="62" spans="1:23" ht="20.100000000000001" customHeight="1">
      <c r="A62" s="121"/>
      <c r="B62" s="610"/>
      <c r="C62" s="611"/>
      <c r="D62" s="597"/>
      <c r="E62" s="193"/>
      <c r="F62" s="193"/>
      <c r="G62" s="193"/>
      <c r="H62" s="112"/>
      <c r="I62" s="595"/>
      <c r="J62" s="609"/>
      <c r="K62" s="597"/>
      <c r="L62" s="77"/>
      <c r="M62" s="77"/>
      <c r="N62" s="77"/>
      <c r="O62" s="77"/>
    </row>
    <row r="63" spans="1:23" ht="20.100000000000001" customHeight="1">
      <c r="A63" s="121" t="s">
        <v>45</v>
      </c>
      <c r="B63" s="595" t="s">
        <v>24</v>
      </c>
      <c r="C63" s="596"/>
      <c r="D63" s="597"/>
      <c r="E63" s="187"/>
      <c r="F63" s="187" t="s">
        <v>24</v>
      </c>
      <c r="G63" s="187" t="s">
        <v>24</v>
      </c>
      <c r="H63" s="187"/>
      <c r="I63" s="595" t="s">
        <v>24</v>
      </c>
      <c r="J63" s="609"/>
      <c r="K63" s="597"/>
      <c r="L63" s="77"/>
      <c r="M63" s="77"/>
      <c r="N63" s="77"/>
      <c r="O63" s="77"/>
    </row>
    <row r="64" spans="1:23" ht="20.100000000000001" customHeight="1">
      <c r="A64" s="135"/>
      <c r="B64" s="188"/>
      <c r="C64" s="188"/>
      <c r="D64" s="188"/>
      <c r="E64" s="188"/>
      <c r="F64" s="188"/>
      <c r="G64" s="188"/>
      <c r="H64" s="188"/>
      <c r="I64" s="188"/>
      <c r="J64" s="188"/>
      <c r="K64" s="120"/>
      <c r="L64" s="3"/>
      <c r="M64" s="3"/>
      <c r="N64" s="3"/>
      <c r="O64" s="3"/>
    </row>
    <row r="65" spans="1:15" ht="21.95" customHeight="1">
      <c r="A65" s="117" t="s">
        <v>242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5"/>
      <c r="M65" s="5"/>
      <c r="N65" s="5"/>
      <c r="O65" s="5"/>
    </row>
    <row r="66" spans="1:15" ht="20.100000000000001" customHeight="1">
      <c r="A66" s="117"/>
      <c r="B66" s="157"/>
      <c r="C66" s="157"/>
      <c r="D66" s="157"/>
      <c r="E66" s="117"/>
      <c r="F66" s="117"/>
      <c r="G66" s="117"/>
      <c r="H66" s="117"/>
      <c r="I66" s="117"/>
    </row>
    <row r="67" spans="1:15" ht="82.5" customHeight="1">
      <c r="A67" s="187" t="s">
        <v>55</v>
      </c>
      <c r="B67" s="595" t="s">
        <v>246</v>
      </c>
      <c r="C67" s="596"/>
      <c r="D67" s="597"/>
      <c r="E67" s="586" t="s">
        <v>233</v>
      </c>
      <c r="F67" s="588"/>
      <c r="G67" s="605" t="s">
        <v>232</v>
      </c>
      <c r="H67" s="605"/>
      <c r="I67" s="586" t="s">
        <v>77</v>
      </c>
      <c r="J67" s="646"/>
      <c r="K67" s="588"/>
      <c r="L67" s="40"/>
      <c r="M67" s="40"/>
      <c r="N67" s="40"/>
      <c r="O67" s="40"/>
    </row>
    <row r="68" spans="1:15" ht="18" customHeight="1">
      <c r="A68" s="187">
        <v>1</v>
      </c>
      <c r="B68" s="595">
        <v>2</v>
      </c>
      <c r="C68" s="596"/>
      <c r="D68" s="609"/>
      <c r="E68" s="595">
        <v>3</v>
      </c>
      <c r="F68" s="597"/>
      <c r="G68" s="595">
        <v>4</v>
      </c>
      <c r="H68" s="608"/>
      <c r="I68" s="595">
        <v>5</v>
      </c>
      <c r="J68" s="613"/>
      <c r="K68" s="614"/>
      <c r="L68" s="21"/>
      <c r="M68" s="21"/>
      <c r="N68" s="21"/>
      <c r="O68" s="21"/>
    </row>
    <row r="69" spans="1:15" ht="20.100000000000001" customHeight="1">
      <c r="A69" s="121" t="s">
        <v>224</v>
      </c>
      <c r="B69" s="580"/>
      <c r="C69" s="581"/>
      <c r="D69" s="600"/>
      <c r="E69" s="198"/>
      <c r="F69" s="155"/>
      <c r="G69" s="158"/>
      <c r="H69" s="155"/>
      <c r="I69" s="197"/>
      <c r="J69" s="194"/>
      <c r="K69" s="159"/>
      <c r="L69" s="77"/>
      <c r="M69" s="77"/>
      <c r="N69" s="77"/>
      <c r="O69" s="77"/>
    </row>
    <row r="70" spans="1:15" ht="20.100000000000001" customHeight="1">
      <c r="A70" s="121" t="s">
        <v>90</v>
      </c>
      <c r="B70" s="580"/>
      <c r="C70" s="581"/>
      <c r="D70" s="600"/>
      <c r="E70" s="198"/>
      <c r="F70" s="155"/>
      <c r="G70" s="158"/>
      <c r="H70" s="155"/>
      <c r="I70" s="197"/>
      <c r="J70" s="194"/>
      <c r="K70" s="159"/>
      <c r="L70" s="77"/>
      <c r="M70" s="77"/>
      <c r="N70" s="77"/>
      <c r="O70" s="77"/>
    </row>
    <row r="71" spans="1:15" ht="20.100000000000001" customHeight="1">
      <c r="A71" s="121"/>
      <c r="B71" s="580"/>
      <c r="C71" s="581"/>
      <c r="D71" s="600"/>
      <c r="E71" s="198"/>
      <c r="F71" s="155"/>
      <c r="G71" s="158"/>
      <c r="H71" s="155"/>
      <c r="I71" s="197"/>
      <c r="J71" s="194"/>
      <c r="K71" s="159"/>
      <c r="L71" s="77"/>
      <c r="M71" s="77"/>
      <c r="N71" s="77"/>
      <c r="O71" s="77"/>
    </row>
    <row r="72" spans="1:15" ht="20.100000000000001" customHeight="1">
      <c r="A72" s="121" t="s">
        <v>225</v>
      </c>
      <c r="B72" s="580"/>
      <c r="C72" s="581"/>
      <c r="D72" s="600"/>
      <c r="E72" s="198"/>
      <c r="F72" s="155"/>
      <c r="G72" s="158"/>
      <c r="H72" s="155"/>
      <c r="I72" s="197"/>
      <c r="J72" s="194"/>
      <c r="K72" s="159"/>
      <c r="L72" s="77"/>
      <c r="M72" s="77"/>
      <c r="N72" s="77"/>
      <c r="O72" s="77"/>
    </row>
    <row r="73" spans="1:15" ht="20.100000000000001" customHeight="1">
      <c r="A73" s="121" t="s">
        <v>91</v>
      </c>
      <c r="B73" s="580"/>
      <c r="C73" s="581"/>
      <c r="D73" s="600"/>
      <c r="E73" s="198"/>
      <c r="F73" s="155"/>
      <c r="G73" s="158"/>
      <c r="H73" s="155"/>
      <c r="I73" s="197"/>
      <c r="J73" s="194"/>
      <c r="K73" s="159"/>
      <c r="L73" s="77"/>
      <c r="M73" s="77"/>
      <c r="N73" s="77"/>
      <c r="O73" s="77"/>
    </row>
    <row r="74" spans="1:15" ht="20.100000000000001" customHeight="1">
      <c r="A74" s="121"/>
      <c r="B74" s="580"/>
      <c r="C74" s="581"/>
      <c r="D74" s="600"/>
      <c r="E74" s="198"/>
      <c r="F74" s="155"/>
      <c r="G74" s="158"/>
      <c r="H74" s="155"/>
      <c r="I74" s="197"/>
      <c r="J74" s="194"/>
      <c r="K74" s="159"/>
      <c r="L74" s="77"/>
      <c r="M74" s="77"/>
      <c r="N74" s="77"/>
      <c r="O74" s="77"/>
    </row>
    <row r="75" spans="1:15" ht="20.100000000000001" customHeight="1">
      <c r="A75" s="121" t="s">
        <v>226</v>
      </c>
      <c r="B75" s="580"/>
      <c r="C75" s="581"/>
      <c r="D75" s="600"/>
      <c r="E75" s="198"/>
      <c r="F75" s="155"/>
      <c r="G75" s="158"/>
      <c r="H75" s="155"/>
      <c r="I75" s="197"/>
      <c r="J75" s="194"/>
      <c r="K75" s="159"/>
      <c r="L75" s="77"/>
      <c r="M75" s="77"/>
      <c r="N75" s="77"/>
      <c r="O75" s="77"/>
    </row>
    <row r="76" spans="1:15" ht="20.100000000000001" customHeight="1">
      <c r="A76" s="121" t="s">
        <v>90</v>
      </c>
      <c r="B76" s="580"/>
      <c r="C76" s="581"/>
      <c r="D76" s="600"/>
      <c r="E76" s="198"/>
      <c r="F76" s="155"/>
      <c r="G76" s="158"/>
      <c r="H76" s="155"/>
      <c r="I76" s="197"/>
      <c r="J76" s="194"/>
      <c r="K76" s="159"/>
      <c r="L76" s="77"/>
      <c r="M76" s="77"/>
      <c r="N76" s="77"/>
      <c r="O76" s="77"/>
    </row>
    <row r="77" spans="1:15" ht="20.100000000000001" customHeight="1">
      <c r="A77" s="121"/>
      <c r="B77" s="580"/>
      <c r="C77" s="581"/>
      <c r="D77" s="600"/>
      <c r="E77" s="198"/>
      <c r="F77" s="155"/>
      <c r="G77" s="158"/>
      <c r="H77" s="155"/>
      <c r="I77" s="197"/>
      <c r="J77" s="194"/>
      <c r="K77" s="159"/>
      <c r="L77" s="77"/>
      <c r="M77" s="77"/>
      <c r="N77" s="77"/>
      <c r="O77" s="77"/>
    </row>
    <row r="78" spans="1:15" ht="20.100000000000001" customHeight="1">
      <c r="A78" s="121" t="s">
        <v>45</v>
      </c>
      <c r="B78" s="580"/>
      <c r="C78" s="581"/>
      <c r="D78" s="600"/>
      <c r="E78" s="198"/>
      <c r="F78" s="160"/>
      <c r="G78" s="158"/>
      <c r="H78" s="160"/>
      <c r="I78" s="161"/>
      <c r="J78" s="194"/>
      <c r="K78" s="159"/>
      <c r="L78" s="77"/>
      <c r="M78" s="77"/>
      <c r="N78" s="77"/>
      <c r="O78" s="77"/>
    </row>
    <row r="79" spans="1:15">
      <c r="E79" s="162"/>
      <c r="F79" s="162"/>
      <c r="G79" s="162"/>
    </row>
    <row r="80" spans="1:15">
      <c r="E80" s="162"/>
      <c r="F80" s="162"/>
      <c r="G80" s="162"/>
    </row>
    <row r="81" spans="1:33">
      <c r="A81" s="604" t="s">
        <v>264</v>
      </c>
      <c r="B81" s="604"/>
      <c r="C81" s="604"/>
      <c r="D81" s="604"/>
      <c r="E81" s="604"/>
      <c r="F81" s="604"/>
      <c r="G81" s="604"/>
      <c r="H81" s="604"/>
      <c r="I81" s="604"/>
      <c r="J81" s="604"/>
      <c r="K81" s="60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</row>
    <row r="82" spans="1:33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41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</row>
    <row r="83" spans="1:33" ht="18.75" customHeight="1">
      <c r="A83" s="631" t="s">
        <v>40</v>
      </c>
      <c r="B83" s="636" t="s">
        <v>159</v>
      </c>
      <c r="C83" s="637"/>
      <c r="D83" s="638"/>
      <c r="E83" s="605" t="s">
        <v>160</v>
      </c>
      <c r="F83" s="605" t="s">
        <v>231</v>
      </c>
      <c r="G83" s="605" t="s">
        <v>161</v>
      </c>
      <c r="H83" s="650" t="s">
        <v>247</v>
      </c>
      <c r="I83" s="665"/>
      <c r="J83" s="665"/>
      <c r="K83" s="665"/>
      <c r="L83" s="655"/>
      <c r="M83" s="40"/>
      <c r="N83" s="40"/>
      <c r="O83" s="40"/>
      <c r="P83" s="40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</row>
    <row r="84" spans="1:33" ht="18.75" customHeight="1">
      <c r="A84" s="632"/>
      <c r="B84" s="642"/>
      <c r="C84" s="643"/>
      <c r="D84" s="644"/>
      <c r="E84" s="607"/>
      <c r="F84" s="607"/>
      <c r="G84" s="607"/>
      <c r="H84" s="195" t="s">
        <v>162</v>
      </c>
      <c r="I84" s="187" t="s">
        <v>163</v>
      </c>
      <c r="J84" s="187" t="s">
        <v>28</v>
      </c>
      <c r="K84" s="187" t="s">
        <v>164</v>
      </c>
      <c r="L84" s="73" t="s">
        <v>165</v>
      </c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21"/>
      <c r="Z84" s="21"/>
      <c r="AA84" s="21"/>
      <c r="AB84" s="21"/>
      <c r="AC84" s="21"/>
    </row>
    <row r="85" spans="1:33">
      <c r="A85" s="164">
        <v>1</v>
      </c>
      <c r="B85" s="601">
        <v>2</v>
      </c>
      <c r="C85" s="602"/>
      <c r="D85" s="603"/>
      <c r="E85" s="165">
        <v>3</v>
      </c>
      <c r="F85" s="165">
        <v>4</v>
      </c>
      <c r="G85" s="166">
        <v>5</v>
      </c>
      <c r="H85" s="165">
        <v>6</v>
      </c>
      <c r="I85" s="165">
        <v>7</v>
      </c>
      <c r="J85" s="165">
        <v>8</v>
      </c>
      <c r="K85" s="165">
        <v>9</v>
      </c>
      <c r="L85" s="72">
        <v>10</v>
      </c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54"/>
      <c r="X85" s="54"/>
      <c r="Y85" s="54"/>
      <c r="Z85" s="54"/>
      <c r="AA85" s="54"/>
      <c r="AB85" s="54"/>
      <c r="AC85" s="54"/>
    </row>
    <row r="86" spans="1:33">
      <c r="A86" s="164"/>
      <c r="B86" s="601"/>
      <c r="C86" s="602"/>
      <c r="D86" s="603"/>
      <c r="E86" s="165"/>
      <c r="F86" s="165"/>
      <c r="G86" s="167">
        <f>SUM(H86:L86)</f>
        <v>0</v>
      </c>
      <c r="H86" s="168"/>
      <c r="I86" s="168"/>
      <c r="J86" s="168"/>
      <c r="K86" s="168"/>
      <c r="L86" s="74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</row>
    <row r="87" spans="1:33">
      <c r="A87" s="164"/>
      <c r="B87" s="601"/>
      <c r="C87" s="602"/>
      <c r="D87" s="603"/>
      <c r="E87" s="165"/>
      <c r="F87" s="165"/>
      <c r="G87" s="167">
        <f>SUM(H87:L87)</f>
        <v>0</v>
      </c>
      <c r="H87" s="168"/>
      <c r="I87" s="168"/>
      <c r="J87" s="168"/>
      <c r="K87" s="168"/>
      <c r="L87" s="74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</row>
    <row r="88" spans="1:33">
      <c r="A88" s="164"/>
      <c r="B88" s="601"/>
      <c r="C88" s="602"/>
      <c r="D88" s="603"/>
      <c r="E88" s="165"/>
      <c r="F88" s="165"/>
      <c r="G88" s="167">
        <f>SUM(H88:L88)</f>
        <v>0</v>
      </c>
      <c r="H88" s="168"/>
      <c r="I88" s="168"/>
      <c r="J88" s="168"/>
      <c r="K88" s="168"/>
      <c r="L88" s="74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</row>
    <row r="89" spans="1:33">
      <c r="A89" s="164"/>
      <c r="B89" s="601"/>
      <c r="C89" s="602"/>
      <c r="D89" s="603"/>
      <c r="E89" s="165"/>
      <c r="F89" s="165"/>
      <c r="G89" s="167">
        <f>SUM(H89:L89)</f>
        <v>0</v>
      </c>
      <c r="H89" s="168"/>
      <c r="I89" s="168"/>
      <c r="J89" s="168"/>
      <c r="K89" s="168"/>
      <c r="L89" s="74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</row>
    <row r="90" spans="1:33">
      <c r="A90" s="169" t="s">
        <v>45</v>
      </c>
      <c r="B90" s="634"/>
      <c r="C90" s="635"/>
      <c r="D90" s="603"/>
      <c r="E90" s="136"/>
      <c r="F90" s="170"/>
      <c r="G90" s="171">
        <f>G86+G87+G88+G89</f>
        <v>0</v>
      </c>
      <c r="H90" s="136"/>
      <c r="I90" s="136"/>
      <c r="J90" s="136"/>
      <c r="K90" s="136"/>
      <c r="L90" s="70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</row>
    <row r="91" spans="1:33" ht="58.5" customHeight="1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27"/>
      <c r="M91" s="28"/>
      <c r="N91" s="28"/>
      <c r="O91" s="28"/>
      <c r="P91" s="28"/>
      <c r="Q91" s="42"/>
      <c r="R91" s="42"/>
      <c r="S91" s="42"/>
      <c r="T91" s="42"/>
      <c r="U91" s="42"/>
      <c r="V91" s="42"/>
      <c r="W91" s="43"/>
      <c r="X91" s="43"/>
      <c r="Y91" s="43"/>
      <c r="Z91" s="43"/>
      <c r="AA91" s="43"/>
      <c r="AB91" s="43"/>
      <c r="AC91" s="43"/>
    </row>
    <row r="92" spans="1:33">
      <c r="A92" s="604" t="s">
        <v>265</v>
      </c>
      <c r="B92" s="604"/>
      <c r="C92" s="604"/>
      <c r="D92" s="604"/>
      <c r="E92" s="604"/>
      <c r="F92" s="604"/>
      <c r="G92" s="604"/>
      <c r="H92" s="604"/>
      <c r="I92" s="604"/>
      <c r="J92" s="196"/>
      <c r="K92" s="196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33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33" ht="18.75" customHeight="1">
      <c r="A94" s="631" t="s">
        <v>40</v>
      </c>
      <c r="B94" s="636" t="s">
        <v>166</v>
      </c>
      <c r="C94" s="637"/>
      <c r="D94" s="638"/>
      <c r="E94" s="605" t="s">
        <v>159</v>
      </c>
      <c r="F94" s="605" t="s">
        <v>231</v>
      </c>
      <c r="G94" s="605" t="s">
        <v>167</v>
      </c>
      <c r="H94" s="650" t="s">
        <v>168</v>
      </c>
      <c r="I94" s="665"/>
      <c r="J94" s="665"/>
      <c r="K94" s="665"/>
      <c r="L94" s="655"/>
      <c r="M94" s="40"/>
      <c r="N94" s="40"/>
      <c r="O94" s="40"/>
      <c r="P94" s="40"/>
      <c r="Q94" s="40"/>
      <c r="R94" s="40"/>
      <c r="S94" s="40"/>
      <c r="T94" s="40"/>
      <c r="U94" s="40"/>
      <c r="V94" s="21"/>
      <c r="W94" s="21"/>
      <c r="X94" s="21"/>
      <c r="Y94" s="21"/>
      <c r="Z94" s="21"/>
      <c r="AA94" s="21"/>
      <c r="AB94" s="21"/>
      <c r="AC94" s="21"/>
      <c r="AG94" s="2" t="s">
        <v>345</v>
      </c>
    </row>
    <row r="95" spans="1:33" ht="18.75" customHeight="1">
      <c r="A95" s="633"/>
      <c r="B95" s="639"/>
      <c r="C95" s="640"/>
      <c r="D95" s="641"/>
      <c r="E95" s="606"/>
      <c r="F95" s="606"/>
      <c r="G95" s="606"/>
      <c r="H95" s="605" t="s">
        <v>169</v>
      </c>
      <c r="I95" s="650" t="s">
        <v>86</v>
      </c>
      <c r="J95" s="665"/>
      <c r="K95" s="665"/>
      <c r="L95" s="655"/>
      <c r="M95" s="40"/>
      <c r="N95" s="40"/>
      <c r="O95" s="40"/>
      <c r="P95" s="40"/>
      <c r="Q95" s="40"/>
      <c r="R95" s="40"/>
      <c r="S95" s="40"/>
      <c r="T95" s="40"/>
      <c r="U95" s="40"/>
      <c r="V95" s="21"/>
      <c r="W95" s="21"/>
      <c r="X95" s="21"/>
      <c r="Y95" s="21"/>
      <c r="Z95" s="21"/>
      <c r="AA95" s="21"/>
      <c r="AB95" s="21"/>
      <c r="AC95" s="21"/>
    </row>
    <row r="96" spans="1:33">
      <c r="A96" s="632"/>
      <c r="B96" s="642"/>
      <c r="C96" s="643"/>
      <c r="D96" s="644"/>
      <c r="E96" s="607"/>
      <c r="F96" s="607"/>
      <c r="G96" s="607"/>
      <c r="H96" s="607"/>
      <c r="I96" s="187" t="s">
        <v>248</v>
      </c>
      <c r="J96" s="187" t="s">
        <v>249</v>
      </c>
      <c r="K96" s="187" t="s">
        <v>250</v>
      </c>
      <c r="L96" s="7" t="s">
        <v>251</v>
      </c>
      <c r="M96" s="40"/>
      <c r="N96" s="40"/>
      <c r="O96" s="40"/>
      <c r="P96" s="40"/>
      <c r="Q96" s="40"/>
      <c r="R96" s="40"/>
      <c r="S96" s="40"/>
      <c r="T96" s="40"/>
      <c r="U96" s="40"/>
      <c r="V96" s="21"/>
      <c r="W96" s="21"/>
      <c r="X96" s="21"/>
      <c r="Y96" s="21"/>
      <c r="Z96" s="21"/>
      <c r="AA96" s="21"/>
      <c r="AB96" s="21"/>
      <c r="AC96" s="21"/>
    </row>
    <row r="97" spans="1:29">
      <c r="A97" s="164">
        <v>1</v>
      </c>
      <c r="B97" s="601">
        <v>2</v>
      </c>
      <c r="C97" s="602"/>
      <c r="D97" s="603"/>
      <c r="E97" s="165">
        <v>3</v>
      </c>
      <c r="F97" s="165">
        <v>4</v>
      </c>
      <c r="G97" s="165">
        <v>5</v>
      </c>
      <c r="H97" s="165">
        <v>6</v>
      </c>
      <c r="I97" s="165">
        <v>7</v>
      </c>
      <c r="J97" s="165">
        <v>8</v>
      </c>
      <c r="K97" s="165">
        <v>9</v>
      </c>
      <c r="L97" s="69">
        <v>10</v>
      </c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54"/>
      <c r="Y97" s="54"/>
      <c r="Z97" s="54"/>
      <c r="AA97" s="54"/>
      <c r="AB97" s="54"/>
      <c r="AC97" s="54"/>
    </row>
    <row r="98" spans="1:29">
      <c r="A98" s="173"/>
      <c r="B98" s="618"/>
      <c r="C98" s="619"/>
      <c r="D98" s="620"/>
      <c r="E98" s="174"/>
      <c r="F98" s="174"/>
      <c r="G98" s="174"/>
      <c r="H98" s="175">
        <f>SUM(I98:L98)</f>
        <v>0</v>
      </c>
      <c r="I98" s="168"/>
      <c r="J98" s="168"/>
      <c r="K98" s="168"/>
      <c r="L98" s="75"/>
      <c r="M98" s="81"/>
      <c r="N98" s="81"/>
      <c r="O98" s="81"/>
      <c r="P98" s="81"/>
      <c r="Q98" s="82"/>
      <c r="R98" s="82"/>
      <c r="S98" s="82"/>
      <c r="T98" s="82"/>
      <c r="U98" s="82"/>
      <c r="V98" s="80"/>
      <c r="W98" s="80"/>
      <c r="X98" s="80"/>
      <c r="Y98" s="80"/>
      <c r="Z98" s="80"/>
      <c r="AA98" s="80"/>
      <c r="AB98" s="80"/>
      <c r="AC98" s="80"/>
    </row>
    <row r="99" spans="1:29">
      <c r="A99" s="173"/>
      <c r="B99" s="618"/>
      <c r="C99" s="619"/>
      <c r="D99" s="620"/>
      <c r="E99" s="174"/>
      <c r="F99" s="174"/>
      <c r="G99" s="174"/>
      <c r="H99" s="175">
        <f>SUM(I99:L99)</f>
        <v>0</v>
      </c>
      <c r="I99" s="168"/>
      <c r="J99" s="168"/>
      <c r="K99" s="168"/>
      <c r="L99" s="75"/>
      <c r="M99" s="81"/>
      <c r="N99" s="81"/>
      <c r="O99" s="81"/>
      <c r="P99" s="81"/>
      <c r="Q99" s="82"/>
      <c r="R99" s="82"/>
      <c r="S99" s="82"/>
      <c r="T99" s="82"/>
      <c r="U99" s="82"/>
      <c r="V99" s="80"/>
      <c r="W99" s="80"/>
      <c r="X99" s="80"/>
      <c r="Y99" s="80"/>
      <c r="Z99" s="80"/>
      <c r="AA99" s="80"/>
      <c r="AB99" s="80"/>
      <c r="AC99" s="80"/>
    </row>
    <row r="100" spans="1:29">
      <c r="A100" s="173"/>
      <c r="B100" s="618"/>
      <c r="C100" s="619"/>
      <c r="D100" s="620"/>
      <c r="E100" s="174"/>
      <c r="F100" s="174"/>
      <c r="G100" s="174"/>
      <c r="H100" s="175">
        <f>SUM(I100:L100)</f>
        <v>0</v>
      </c>
      <c r="I100" s="168"/>
      <c r="J100" s="168"/>
      <c r="K100" s="168"/>
      <c r="L100" s="75"/>
      <c r="M100" s="81"/>
      <c r="N100" s="81"/>
      <c r="O100" s="81"/>
      <c r="P100" s="81"/>
      <c r="Q100" s="82"/>
      <c r="R100" s="82"/>
      <c r="S100" s="82"/>
      <c r="T100" s="82"/>
      <c r="U100" s="82"/>
      <c r="V100" s="80"/>
      <c r="W100" s="80"/>
      <c r="X100" s="80"/>
      <c r="Y100" s="80"/>
      <c r="Z100" s="80"/>
      <c r="AA100" s="80"/>
      <c r="AB100" s="80"/>
      <c r="AC100" s="80"/>
    </row>
    <row r="101" spans="1:29">
      <c r="A101" s="173"/>
      <c r="B101" s="618"/>
      <c r="C101" s="619"/>
      <c r="D101" s="620"/>
      <c r="E101" s="174"/>
      <c r="F101" s="174"/>
      <c r="G101" s="174"/>
      <c r="H101" s="175">
        <f>SUM(I101:L101)</f>
        <v>0</v>
      </c>
      <c r="I101" s="168"/>
      <c r="J101" s="168"/>
      <c r="K101" s="168"/>
      <c r="L101" s="75"/>
      <c r="M101" s="81"/>
      <c r="N101" s="81"/>
      <c r="O101" s="81"/>
      <c r="P101" s="81"/>
      <c r="Q101" s="82"/>
      <c r="R101" s="82"/>
      <c r="S101" s="82"/>
      <c r="T101" s="82"/>
      <c r="U101" s="82"/>
      <c r="V101" s="80"/>
      <c r="W101" s="80"/>
      <c r="X101" s="80"/>
      <c r="Y101" s="80"/>
      <c r="Z101" s="80"/>
      <c r="AA101" s="80"/>
      <c r="AB101" s="80"/>
      <c r="AC101" s="80"/>
    </row>
    <row r="102" spans="1:29">
      <c r="A102" s="169" t="s">
        <v>45</v>
      </c>
      <c r="B102" s="625"/>
      <c r="C102" s="626"/>
      <c r="D102" s="620"/>
      <c r="E102" s="169"/>
      <c r="F102" s="169"/>
      <c r="G102" s="169"/>
      <c r="H102" s="176">
        <f>H98+H99+H100+H101</f>
        <v>0</v>
      </c>
      <c r="I102" s="169"/>
      <c r="J102" s="169"/>
      <c r="K102" s="169"/>
      <c r="L102" s="76"/>
      <c r="M102" s="20"/>
      <c r="N102" s="20"/>
      <c r="O102" s="20"/>
      <c r="P102" s="20"/>
      <c r="Q102" s="20"/>
      <c r="R102" s="20"/>
      <c r="S102" s="20"/>
      <c r="T102" s="20"/>
      <c r="U102" s="20"/>
      <c r="V102" s="77"/>
      <c r="W102" s="77"/>
      <c r="X102" s="77"/>
      <c r="Y102" s="77"/>
      <c r="Z102" s="77"/>
      <c r="AA102" s="77"/>
      <c r="AB102" s="77"/>
      <c r="AC102" s="77"/>
    </row>
    <row r="103" spans="1:29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21"/>
      <c r="M103" s="21"/>
      <c r="N103" s="21"/>
      <c r="O103" s="21"/>
      <c r="Q103" s="24"/>
      <c r="R103" s="24"/>
      <c r="S103" s="24"/>
      <c r="T103" s="24"/>
      <c r="U103" s="24"/>
      <c r="AC103" s="24"/>
    </row>
    <row r="104" spans="1:29">
      <c r="A104" s="604" t="s">
        <v>243</v>
      </c>
      <c r="B104" s="604"/>
      <c r="C104" s="604"/>
      <c r="D104" s="604"/>
      <c r="E104" s="604"/>
      <c r="F104" s="604"/>
      <c r="G104" s="604"/>
      <c r="H104" s="196"/>
      <c r="I104" s="196"/>
      <c r="J104" s="196"/>
      <c r="K104" s="196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</row>
    <row r="105" spans="1:29">
      <c r="A105" s="177"/>
      <c r="B105" s="177"/>
      <c r="C105" s="177"/>
      <c r="D105" s="177"/>
      <c r="E105" s="177"/>
      <c r="F105" s="177"/>
      <c r="G105" s="177"/>
      <c r="H105" s="177"/>
      <c r="I105" s="178"/>
      <c r="J105" s="178"/>
      <c r="K105" s="178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22"/>
      <c r="W105" s="669" t="s">
        <v>185</v>
      </c>
      <c r="X105" s="669"/>
      <c r="Y105" s="669"/>
      <c r="Z105" s="669"/>
      <c r="AA105" s="669"/>
      <c r="AB105" s="669"/>
      <c r="AC105" s="669"/>
    </row>
    <row r="106" spans="1:29" ht="18.75" customHeight="1">
      <c r="A106" s="612" t="s">
        <v>40</v>
      </c>
      <c r="B106" s="586" t="s">
        <v>186</v>
      </c>
      <c r="C106" s="587"/>
      <c r="D106" s="588"/>
      <c r="E106" s="595" t="s">
        <v>44</v>
      </c>
      <c r="F106" s="596"/>
      <c r="G106" s="596"/>
      <c r="H106" s="596"/>
      <c r="I106" s="608"/>
      <c r="J106" s="650" t="s">
        <v>78</v>
      </c>
      <c r="K106" s="665"/>
      <c r="L106" s="665"/>
      <c r="M106" s="665"/>
      <c r="N106" s="655"/>
      <c r="O106" s="650" t="s">
        <v>206</v>
      </c>
      <c r="P106" s="665"/>
      <c r="Q106" s="665"/>
      <c r="R106" s="665"/>
      <c r="S106" s="655"/>
      <c r="T106" s="650" t="s">
        <v>113</v>
      </c>
      <c r="U106" s="665"/>
      <c r="V106" s="665"/>
      <c r="W106" s="665"/>
      <c r="X106" s="655"/>
      <c r="Y106" s="556" t="s">
        <v>45</v>
      </c>
      <c r="Z106" s="556"/>
      <c r="AA106" s="556"/>
      <c r="AB106" s="556"/>
      <c r="AC106" s="556"/>
    </row>
    <row r="107" spans="1:29">
      <c r="A107" s="612"/>
      <c r="B107" s="627"/>
      <c r="C107" s="628"/>
      <c r="D107" s="591"/>
      <c r="E107" s="605" t="s">
        <v>117</v>
      </c>
      <c r="F107" s="595" t="s">
        <v>86</v>
      </c>
      <c r="G107" s="596"/>
      <c r="H107" s="596"/>
      <c r="I107" s="608"/>
      <c r="J107" s="605" t="s">
        <v>117</v>
      </c>
      <c r="K107" s="650" t="s">
        <v>86</v>
      </c>
      <c r="L107" s="667"/>
      <c r="M107" s="667"/>
      <c r="N107" s="668"/>
      <c r="O107" s="563" t="s">
        <v>117</v>
      </c>
      <c r="P107" s="650" t="s">
        <v>86</v>
      </c>
      <c r="Q107" s="665"/>
      <c r="R107" s="665"/>
      <c r="S107" s="655"/>
      <c r="T107" s="563" t="s">
        <v>117</v>
      </c>
      <c r="U107" s="650" t="s">
        <v>86</v>
      </c>
      <c r="V107" s="665"/>
      <c r="W107" s="665"/>
      <c r="X107" s="655"/>
      <c r="Y107" s="556" t="s">
        <v>117</v>
      </c>
      <c r="Z107" s="556" t="s">
        <v>86</v>
      </c>
      <c r="AA107" s="556"/>
      <c r="AB107" s="556"/>
      <c r="AC107" s="556"/>
    </row>
    <row r="108" spans="1:29">
      <c r="A108" s="612"/>
      <c r="B108" s="629"/>
      <c r="C108" s="630"/>
      <c r="D108" s="594"/>
      <c r="E108" s="617"/>
      <c r="F108" s="187" t="s">
        <v>252</v>
      </c>
      <c r="G108" s="187" t="s">
        <v>249</v>
      </c>
      <c r="H108" s="187" t="s">
        <v>250</v>
      </c>
      <c r="I108" s="187" t="s">
        <v>251</v>
      </c>
      <c r="J108" s="617"/>
      <c r="K108" s="187" t="s">
        <v>252</v>
      </c>
      <c r="L108" s="7" t="s">
        <v>249</v>
      </c>
      <c r="M108" s="7" t="s">
        <v>250</v>
      </c>
      <c r="N108" s="7" t="s">
        <v>251</v>
      </c>
      <c r="O108" s="666"/>
      <c r="P108" s="7" t="s">
        <v>65</v>
      </c>
      <c r="Q108" s="7" t="s">
        <v>66</v>
      </c>
      <c r="R108" s="7" t="s">
        <v>64</v>
      </c>
      <c r="S108" s="7" t="s">
        <v>61</v>
      </c>
      <c r="T108" s="666"/>
      <c r="U108" s="7" t="s">
        <v>65</v>
      </c>
      <c r="V108" s="7" t="s">
        <v>66</v>
      </c>
      <c r="W108" s="7" t="s">
        <v>64</v>
      </c>
      <c r="X108" s="7" t="s">
        <v>61</v>
      </c>
      <c r="Y108" s="556"/>
      <c r="Z108" s="7" t="s">
        <v>65</v>
      </c>
      <c r="AA108" s="7" t="s">
        <v>66</v>
      </c>
      <c r="AB108" s="7" t="s">
        <v>64</v>
      </c>
      <c r="AC108" s="7" t="s">
        <v>61</v>
      </c>
    </row>
    <row r="109" spans="1:29">
      <c r="A109" s="187">
        <v>1</v>
      </c>
      <c r="B109" s="595">
        <v>2</v>
      </c>
      <c r="C109" s="596"/>
      <c r="D109" s="597"/>
      <c r="E109" s="187">
        <v>3</v>
      </c>
      <c r="F109" s="187">
        <v>4</v>
      </c>
      <c r="G109" s="187">
        <v>5</v>
      </c>
      <c r="H109" s="187">
        <v>6</v>
      </c>
      <c r="I109" s="187">
        <v>7</v>
      </c>
      <c r="J109" s="187">
        <v>8</v>
      </c>
      <c r="K109" s="187">
        <v>9</v>
      </c>
      <c r="L109" s="7">
        <v>10</v>
      </c>
      <c r="M109" s="7">
        <v>11</v>
      </c>
      <c r="N109" s="7">
        <v>12</v>
      </c>
      <c r="O109" s="7">
        <v>13</v>
      </c>
      <c r="P109" s="7">
        <v>14</v>
      </c>
      <c r="Q109" s="7">
        <v>15</v>
      </c>
      <c r="R109" s="7">
        <v>16</v>
      </c>
      <c r="S109" s="7">
        <v>17</v>
      </c>
      <c r="T109" s="7">
        <v>18</v>
      </c>
      <c r="U109" s="7">
        <v>19</v>
      </c>
      <c r="V109" s="6">
        <v>20</v>
      </c>
      <c r="W109" s="6">
        <v>21</v>
      </c>
      <c r="X109" s="6">
        <v>22</v>
      </c>
      <c r="Y109" s="6">
        <v>23</v>
      </c>
      <c r="Z109" s="6">
        <v>24</v>
      </c>
      <c r="AA109" s="6">
        <v>25</v>
      </c>
      <c r="AB109" s="6">
        <v>26</v>
      </c>
      <c r="AC109" s="6">
        <v>27</v>
      </c>
    </row>
    <row r="110" spans="1:29">
      <c r="A110" s="193">
        <v>1</v>
      </c>
      <c r="B110" s="621"/>
      <c r="C110" s="622"/>
      <c r="D110" s="582"/>
      <c r="E110" s="175">
        <f>F110+G110+H110+I110</f>
        <v>0</v>
      </c>
      <c r="F110" s="179"/>
      <c r="G110" s="179"/>
      <c r="H110" s="180"/>
      <c r="I110" s="180"/>
      <c r="J110" s="181">
        <f>K110+L110+M110+N110</f>
        <v>0</v>
      </c>
      <c r="K110" s="181"/>
      <c r="L110" s="103"/>
      <c r="M110" s="103"/>
      <c r="N110" s="103"/>
      <c r="O110" s="103">
        <f>P110+Q110+R110+S110</f>
        <v>0</v>
      </c>
      <c r="P110" s="104"/>
      <c r="Q110" s="104"/>
      <c r="R110" s="104"/>
      <c r="S110" s="104"/>
      <c r="T110" s="103">
        <f>U110+V110+W110+X110</f>
        <v>0</v>
      </c>
      <c r="U110" s="104"/>
      <c r="V110" s="104"/>
      <c r="W110" s="104"/>
      <c r="X110" s="104"/>
      <c r="Y110" s="12">
        <f t="shared" ref="Y110:AC114" si="5">E110+J110+O110+T110</f>
        <v>0</v>
      </c>
      <c r="Z110" s="94">
        <f t="shared" si="5"/>
        <v>0</v>
      </c>
      <c r="AA110" s="94">
        <f t="shared" si="5"/>
        <v>0</v>
      </c>
      <c r="AB110" s="94">
        <f t="shared" si="5"/>
        <v>0</v>
      </c>
      <c r="AC110" s="94">
        <f t="shared" si="5"/>
        <v>0</v>
      </c>
    </row>
    <row r="111" spans="1:29">
      <c r="A111" s="193"/>
      <c r="B111" s="623"/>
      <c r="C111" s="624"/>
      <c r="D111" s="597"/>
      <c r="E111" s="175">
        <f>F111+G111+H111+I111</f>
        <v>0</v>
      </c>
      <c r="F111" s="179"/>
      <c r="G111" s="179"/>
      <c r="H111" s="180"/>
      <c r="I111" s="180"/>
      <c r="J111" s="181">
        <f>K111+L111+M111+N111</f>
        <v>0</v>
      </c>
      <c r="K111" s="181"/>
      <c r="L111" s="103"/>
      <c r="M111" s="103"/>
      <c r="N111" s="103"/>
      <c r="O111" s="103">
        <f>P111+Q111+R111+S111</f>
        <v>0</v>
      </c>
      <c r="P111" s="104"/>
      <c r="Q111" s="104"/>
      <c r="R111" s="104"/>
      <c r="S111" s="104"/>
      <c r="T111" s="103">
        <f>U111+V111+W111+X111</f>
        <v>0</v>
      </c>
      <c r="U111" s="104"/>
      <c r="V111" s="104"/>
      <c r="W111" s="104"/>
      <c r="X111" s="104"/>
      <c r="Y111" s="12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0</v>
      </c>
      <c r="AC111" s="94">
        <f t="shared" si="5"/>
        <v>0</v>
      </c>
    </row>
    <row r="112" spans="1:29">
      <c r="A112" s="193"/>
      <c r="B112" s="623"/>
      <c r="C112" s="624"/>
      <c r="D112" s="597"/>
      <c r="E112" s="175">
        <f>F112+G112+H112+I112</f>
        <v>0</v>
      </c>
      <c r="F112" s="179"/>
      <c r="G112" s="179"/>
      <c r="H112" s="180"/>
      <c r="I112" s="180"/>
      <c r="J112" s="181">
        <f>K112+L112+M112+N112</f>
        <v>0</v>
      </c>
      <c r="K112" s="181"/>
      <c r="L112" s="103"/>
      <c r="M112" s="103"/>
      <c r="N112" s="103"/>
      <c r="O112" s="103">
        <f>P112+Q112+R112+S112</f>
        <v>0</v>
      </c>
      <c r="P112" s="104"/>
      <c r="Q112" s="104"/>
      <c r="R112" s="104"/>
      <c r="S112" s="104"/>
      <c r="T112" s="103">
        <f>U112+V112+W112+X112</f>
        <v>0</v>
      </c>
      <c r="U112" s="104"/>
      <c r="V112" s="104"/>
      <c r="W112" s="104"/>
      <c r="X112" s="104"/>
      <c r="Y112" s="12">
        <f t="shared" si="5"/>
        <v>0</v>
      </c>
      <c r="Z112" s="94">
        <f t="shared" si="5"/>
        <v>0</v>
      </c>
      <c r="AA112" s="94">
        <f t="shared" si="5"/>
        <v>0</v>
      </c>
      <c r="AB112" s="94">
        <f t="shared" si="5"/>
        <v>0</v>
      </c>
      <c r="AC112" s="94">
        <f t="shared" si="5"/>
        <v>0</v>
      </c>
    </row>
    <row r="113" spans="1:33">
      <c r="A113" s="193"/>
      <c r="B113" s="623"/>
      <c r="C113" s="624"/>
      <c r="D113" s="597"/>
      <c r="E113" s="175">
        <f>F113+G113+H113+I113</f>
        <v>0</v>
      </c>
      <c r="F113" s="179"/>
      <c r="G113" s="179"/>
      <c r="H113" s="180"/>
      <c r="I113" s="180"/>
      <c r="J113" s="181">
        <f>K113+L113+M113+N113</f>
        <v>0</v>
      </c>
      <c r="K113" s="181"/>
      <c r="L113" s="103"/>
      <c r="M113" s="103"/>
      <c r="N113" s="103"/>
      <c r="O113" s="103">
        <f>P113+Q113+R113+S113</f>
        <v>0</v>
      </c>
      <c r="P113" s="104"/>
      <c r="Q113" s="104"/>
      <c r="R113" s="104"/>
      <c r="S113" s="104"/>
      <c r="T113" s="103">
        <f>U113+V113+W113+X113</f>
        <v>0</v>
      </c>
      <c r="U113" s="104"/>
      <c r="V113" s="104"/>
      <c r="W113" s="104"/>
      <c r="X113" s="104"/>
      <c r="Y113" s="12">
        <f t="shared" si="5"/>
        <v>0</v>
      </c>
      <c r="Z113" s="94">
        <f t="shared" si="5"/>
        <v>0</v>
      </c>
      <c r="AA113" s="94">
        <f t="shared" si="5"/>
        <v>0</v>
      </c>
      <c r="AB113" s="94">
        <f t="shared" si="5"/>
        <v>0</v>
      </c>
      <c r="AC113" s="94">
        <f t="shared" si="5"/>
        <v>0</v>
      </c>
    </row>
    <row r="114" spans="1:33">
      <c r="A114" s="182" t="s">
        <v>45</v>
      </c>
      <c r="B114" s="598"/>
      <c r="C114" s="599"/>
      <c r="D114" s="582"/>
      <c r="E114" s="123">
        <f>SUM(E110:E113)</f>
        <v>0</v>
      </c>
      <c r="F114" s="182"/>
      <c r="G114" s="182"/>
      <c r="H114" s="193"/>
      <c r="I114" s="193"/>
      <c r="J114" s="112">
        <f>SUM(J110:J113)</f>
        <v>0</v>
      </c>
      <c r="K114" s="112"/>
      <c r="L114" s="12"/>
      <c r="M114" s="12"/>
      <c r="N114" s="12"/>
      <c r="O114" s="12">
        <f>SUM(O110:O113)</f>
        <v>0</v>
      </c>
      <c r="P114" s="12"/>
      <c r="Q114" s="12"/>
      <c r="R114" s="12">
        <f>SUM(R110:R113)</f>
        <v>0</v>
      </c>
      <c r="S114" s="12"/>
      <c r="T114" s="12">
        <f>SUM(T110:T113)</f>
        <v>0</v>
      </c>
      <c r="U114" s="93"/>
      <c r="V114" s="93"/>
      <c r="W114" s="93"/>
      <c r="X114" s="93"/>
      <c r="Y114" s="12">
        <f t="shared" si="5"/>
        <v>0</v>
      </c>
      <c r="Z114" s="94">
        <f t="shared" si="5"/>
        <v>0</v>
      </c>
      <c r="AA114" s="94">
        <f t="shared" si="5"/>
        <v>0</v>
      </c>
      <c r="AB114" s="94">
        <f t="shared" si="5"/>
        <v>0</v>
      </c>
      <c r="AC114" s="94">
        <f t="shared" si="5"/>
        <v>0</v>
      </c>
    </row>
    <row r="115" spans="1:33">
      <c r="A115" s="121" t="s">
        <v>46</v>
      </c>
      <c r="B115" s="580"/>
      <c r="C115" s="581"/>
      <c r="D115" s="582"/>
      <c r="E115" s="121"/>
      <c r="F115" s="121"/>
      <c r="G115" s="187"/>
      <c r="H115" s="183"/>
      <c r="I115" s="183"/>
      <c r="J115" s="183"/>
      <c r="K115" s="183"/>
      <c r="L115" s="106"/>
      <c r="M115" s="106"/>
      <c r="N115" s="67"/>
      <c r="O115" s="67"/>
      <c r="P115" s="67"/>
      <c r="Q115" s="106"/>
      <c r="R115" s="106"/>
      <c r="S115" s="67"/>
      <c r="T115" s="67"/>
      <c r="U115" s="67"/>
      <c r="V115" s="106"/>
      <c r="W115" s="68"/>
      <c r="X115" s="68"/>
      <c r="Y115" s="106"/>
      <c r="Z115" s="68"/>
      <c r="AA115" s="68"/>
      <c r="AB115" s="68"/>
      <c r="AC115" s="68"/>
    </row>
    <row r="116" spans="1:33" ht="18.75" customHeight="1">
      <c r="F116" s="120"/>
      <c r="G116" s="184"/>
      <c r="H116" s="184"/>
      <c r="I116" s="184"/>
    </row>
    <row r="117" spans="1:33">
      <c r="A117" s="124" t="s">
        <v>268</v>
      </c>
    </row>
    <row r="118" spans="1:33">
      <c r="A118" s="124"/>
    </row>
    <row r="119" spans="1:33">
      <c r="A119" s="124"/>
      <c r="U119" s="2" t="s">
        <v>282</v>
      </c>
    </row>
    <row r="120" spans="1:33" ht="18.75" customHeight="1">
      <c r="A120" s="615" t="s">
        <v>40</v>
      </c>
      <c r="B120" s="586" t="s">
        <v>272</v>
      </c>
      <c r="C120" s="587"/>
      <c r="D120" s="588"/>
      <c r="E120" s="605" t="s">
        <v>273</v>
      </c>
      <c r="F120" s="605" t="s">
        <v>274</v>
      </c>
      <c r="G120" s="605" t="s">
        <v>269</v>
      </c>
      <c r="H120" s="605" t="s">
        <v>270</v>
      </c>
      <c r="I120" s="650" t="s">
        <v>117</v>
      </c>
      <c r="J120" s="665"/>
      <c r="K120" s="665"/>
      <c r="L120" s="665"/>
      <c r="M120" s="655"/>
      <c r="N120" s="675" t="s">
        <v>275</v>
      </c>
      <c r="O120" s="676"/>
      <c r="P120" s="677"/>
      <c r="Q120" s="556" t="s">
        <v>276</v>
      </c>
      <c r="R120" s="556"/>
      <c r="S120" s="556"/>
      <c r="T120" s="556"/>
      <c r="U120" s="556"/>
      <c r="V120" s="556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</row>
    <row r="121" spans="1:33">
      <c r="A121" s="615"/>
      <c r="B121" s="589"/>
      <c r="C121" s="590"/>
      <c r="D121" s="591"/>
      <c r="E121" s="616"/>
      <c r="F121" s="616"/>
      <c r="G121" s="616"/>
      <c r="H121" s="616"/>
      <c r="I121" s="605" t="s">
        <v>271</v>
      </c>
      <c r="J121" s="605" t="s">
        <v>277</v>
      </c>
      <c r="K121" s="650" t="s">
        <v>281</v>
      </c>
      <c r="L121" s="667"/>
      <c r="M121" s="668"/>
      <c r="N121" s="678"/>
      <c r="O121" s="679"/>
      <c r="P121" s="680"/>
      <c r="Q121" s="556"/>
      <c r="R121" s="556"/>
      <c r="S121" s="556"/>
      <c r="T121" s="556"/>
      <c r="U121" s="556"/>
      <c r="V121" s="556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</row>
    <row r="122" spans="1:33" ht="255" customHeight="1">
      <c r="A122" s="615"/>
      <c r="B122" s="592"/>
      <c r="C122" s="593"/>
      <c r="D122" s="594"/>
      <c r="E122" s="617"/>
      <c r="F122" s="617"/>
      <c r="G122" s="617"/>
      <c r="H122" s="617"/>
      <c r="I122" s="617"/>
      <c r="J122" s="617"/>
      <c r="K122" s="195" t="s">
        <v>278</v>
      </c>
      <c r="L122" s="7" t="s">
        <v>279</v>
      </c>
      <c r="M122" s="7" t="s">
        <v>280</v>
      </c>
      <c r="N122" s="681"/>
      <c r="O122" s="682"/>
      <c r="P122" s="683"/>
      <c r="Q122" s="556"/>
      <c r="R122" s="556"/>
      <c r="S122" s="556"/>
      <c r="T122" s="556"/>
      <c r="U122" s="556"/>
      <c r="V122" s="556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</row>
    <row r="123" spans="1:33">
      <c r="A123" s="190">
        <v>1</v>
      </c>
      <c r="B123" s="595">
        <v>2</v>
      </c>
      <c r="C123" s="596"/>
      <c r="D123" s="597"/>
      <c r="E123" s="187">
        <v>3</v>
      </c>
      <c r="F123" s="187">
        <v>4</v>
      </c>
      <c r="G123" s="187">
        <v>5</v>
      </c>
      <c r="H123" s="187">
        <v>6</v>
      </c>
      <c r="I123" s="187">
        <v>7</v>
      </c>
      <c r="J123" s="187">
        <v>8</v>
      </c>
      <c r="K123" s="187">
        <v>9</v>
      </c>
      <c r="L123" s="7">
        <v>10</v>
      </c>
      <c r="M123" s="7">
        <v>11</v>
      </c>
      <c r="N123" s="650">
        <v>12</v>
      </c>
      <c r="O123" s="670"/>
      <c r="P123" s="651"/>
      <c r="Q123" s="650">
        <v>13</v>
      </c>
      <c r="R123" s="665"/>
      <c r="S123" s="671"/>
      <c r="T123" s="671"/>
      <c r="U123" s="671"/>
      <c r="V123" s="672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</row>
    <row r="124" spans="1:33" ht="18.75" customHeight="1">
      <c r="A124" s="193"/>
      <c r="B124" s="598"/>
      <c r="C124" s="599"/>
      <c r="D124" s="582"/>
      <c r="E124" s="193"/>
      <c r="F124" s="193"/>
      <c r="G124" s="193"/>
      <c r="H124" s="193"/>
      <c r="I124" s="193"/>
      <c r="J124" s="193"/>
      <c r="K124" s="193"/>
      <c r="L124" s="65"/>
      <c r="M124" s="65"/>
      <c r="N124" s="673"/>
      <c r="O124" s="670"/>
      <c r="P124" s="651"/>
      <c r="Q124" s="673"/>
      <c r="R124" s="674"/>
      <c r="S124" s="670"/>
      <c r="T124" s="670"/>
      <c r="U124" s="670"/>
      <c r="V124" s="651"/>
      <c r="W124" s="109"/>
      <c r="X124" s="109"/>
      <c r="Y124" s="109"/>
      <c r="Z124" s="109"/>
      <c r="AA124" s="109"/>
      <c r="AB124" s="110"/>
      <c r="AC124" s="110"/>
      <c r="AD124" s="110"/>
      <c r="AE124" s="110"/>
      <c r="AF124" s="110"/>
      <c r="AG124" s="110"/>
    </row>
    <row r="125" spans="1:33">
      <c r="A125" s="193"/>
      <c r="B125" s="598"/>
      <c r="C125" s="599"/>
      <c r="D125" s="582"/>
      <c r="E125" s="193"/>
      <c r="F125" s="193"/>
      <c r="G125" s="193"/>
      <c r="H125" s="193"/>
      <c r="I125" s="193"/>
      <c r="J125" s="193"/>
      <c r="K125" s="193"/>
      <c r="L125" s="65"/>
      <c r="M125" s="65"/>
      <c r="N125" s="673"/>
      <c r="O125" s="670"/>
      <c r="P125" s="651"/>
      <c r="Q125" s="673"/>
      <c r="R125" s="674"/>
      <c r="S125" s="670"/>
      <c r="T125" s="670"/>
      <c r="U125" s="670"/>
      <c r="V125" s="651"/>
      <c r="W125" s="109"/>
      <c r="X125" s="109"/>
      <c r="Y125" s="109"/>
      <c r="Z125" s="109"/>
      <c r="AA125" s="109"/>
      <c r="AB125" s="110"/>
      <c r="AC125" s="110"/>
      <c r="AD125" s="110"/>
      <c r="AE125" s="110"/>
      <c r="AF125" s="110"/>
      <c r="AG125" s="110"/>
    </row>
    <row r="126" spans="1:33">
      <c r="A126" s="121" t="s">
        <v>45</v>
      </c>
      <c r="B126" s="580"/>
      <c r="C126" s="581"/>
      <c r="D126" s="582"/>
      <c r="E126" s="121"/>
      <c r="F126" s="121"/>
      <c r="G126" s="187"/>
      <c r="H126" s="187"/>
      <c r="I126" s="187"/>
      <c r="J126" s="187"/>
      <c r="K126" s="187"/>
      <c r="L126" s="7"/>
      <c r="M126" s="7"/>
      <c r="N126" s="650"/>
      <c r="O126" s="670"/>
      <c r="P126" s="651"/>
      <c r="Q126" s="650"/>
      <c r="R126" s="665"/>
      <c r="S126" s="670"/>
      <c r="T126" s="670"/>
      <c r="U126" s="670"/>
      <c r="V126" s="651"/>
      <c r="W126" s="109"/>
      <c r="X126" s="109"/>
      <c r="Y126" s="109"/>
      <c r="Z126" s="109"/>
      <c r="AA126" s="109"/>
      <c r="AB126" s="110"/>
      <c r="AC126" s="110"/>
      <c r="AD126" s="110"/>
      <c r="AE126" s="110"/>
      <c r="AF126" s="110"/>
      <c r="AG126" s="110"/>
    </row>
    <row r="129" spans="1:10">
      <c r="A129" s="199" t="s">
        <v>344</v>
      </c>
      <c r="B129" s="129"/>
      <c r="C129" s="129"/>
      <c r="D129" s="129"/>
      <c r="E129" s="684" t="s">
        <v>93</v>
      </c>
      <c r="F129" s="685"/>
      <c r="G129" s="185"/>
      <c r="H129" s="686" t="s">
        <v>342</v>
      </c>
      <c r="I129" s="686"/>
      <c r="J129" s="686"/>
    </row>
    <row r="130" spans="1:10">
      <c r="A130" s="188" t="s">
        <v>68</v>
      </c>
      <c r="B130" s="120"/>
      <c r="C130" s="120"/>
      <c r="D130" s="120"/>
      <c r="E130" s="657" t="s">
        <v>69</v>
      </c>
      <c r="F130" s="657"/>
      <c r="G130" s="186"/>
      <c r="H130" s="658" t="s">
        <v>89</v>
      </c>
      <c r="I130" s="658"/>
      <c r="J130" s="658"/>
    </row>
  </sheetData>
  <mergeCells count="172">
    <mergeCell ref="E129:F129"/>
    <mergeCell ref="H129:J129"/>
    <mergeCell ref="E130:F130"/>
    <mergeCell ref="H130:J130"/>
    <mergeCell ref="B125:D125"/>
    <mergeCell ref="N125:P125"/>
    <mergeCell ref="Q125:V125"/>
    <mergeCell ref="B126:D126"/>
    <mergeCell ref="N126:P126"/>
    <mergeCell ref="Q126:V126"/>
    <mergeCell ref="B123:D123"/>
    <mergeCell ref="N123:P123"/>
    <mergeCell ref="Q123:V123"/>
    <mergeCell ref="B124:D124"/>
    <mergeCell ref="N124:P124"/>
    <mergeCell ref="Q124:V124"/>
    <mergeCell ref="H120:H122"/>
    <mergeCell ref="I120:M120"/>
    <mergeCell ref="N120:P122"/>
    <mergeCell ref="Q120:V122"/>
    <mergeCell ref="I121:I122"/>
    <mergeCell ref="J121:J122"/>
    <mergeCell ref="K121:M121"/>
    <mergeCell ref="B112:D112"/>
    <mergeCell ref="B113:D113"/>
    <mergeCell ref="B114:D114"/>
    <mergeCell ref="B115:D115"/>
    <mergeCell ref="A120:A122"/>
    <mergeCell ref="B120:D122"/>
    <mergeCell ref="E120:E122"/>
    <mergeCell ref="F120:F122"/>
    <mergeCell ref="G120:G122"/>
    <mergeCell ref="Z107:AC107"/>
    <mergeCell ref="B109:D109"/>
    <mergeCell ref="B110:D110"/>
    <mergeCell ref="B111:D111"/>
    <mergeCell ref="F107:I107"/>
    <mergeCell ref="J107:J108"/>
    <mergeCell ref="K107:N107"/>
    <mergeCell ref="O107:O108"/>
    <mergeCell ref="A104:G104"/>
    <mergeCell ref="W105:AC105"/>
    <mergeCell ref="A106:A108"/>
    <mergeCell ref="B106:D108"/>
    <mergeCell ref="E106:I106"/>
    <mergeCell ref="J106:N106"/>
    <mergeCell ref="O106:S106"/>
    <mergeCell ref="T106:X106"/>
    <mergeCell ref="U107:X107"/>
    <mergeCell ref="Y107:Y108"/>
    <mergeCell ref="Y106:AC106"/>
    <mergeCell ref="E107:E108"/>
    <mergeCell ref="B97:D97"/>
    <mergeCell ref="B98:D98"/>
    <mergeCell ref="B99:D99"/>
    <mergeCell ref="B100:D100"/>
    <mergeCell ref="B101:D101"/>
    <mergeCell ref="B102:D102"/>
    <mergeCell ref="P107:S107"/>
    <mergeCell ref="T107:T108"/>
    <mergeCell ref="B90:D90"/>
    <mergeCell ref="A92:I92"/>
    <mergeCell ref="A94:A96"/>
    <mergeCell ref="B94:D96"/>
    <mergeCell ref="E94:E96"/>
    <mergeCell ref="F94:F96"/>
    <mergeCell ref="G94:G96"/>
    <mergeCell ref="H94:L94"/>
    <mergeCell ref="H95:H96"/>
    <mergeCell ref="I95:L95"/>
    <mergeCell ref="H83:L83"/>
    <mergeCell ref="B85:D85"/>
    <mergeCell ref="B86:D86"/>
    <mergeCell ref="B87:D87"/>
    <mergeCell ref="B88:D88"/>
    <mergeCell ref="B89:D89"/>
    <mergeCell ref="B75:D75"/>
    <mergeCell ref="B76:D76"/>
    <mergeCell ref="B77:D77"/>
    <mergeCell ref="B78:D78"/>
    <mergeCell ref="A81:K81"/>
    <mergeCell ref="A83:A84"/>
    <mergeCell ref="B83:D84"/>
    <mergeCell ref="E83:E84"/>
    <mergeCell ref="F83:F84"/>
    <mergeCell ref="G83:G84"/>
    <mergeCell ref="B69:D69"/>
    <mergeCell ref="B70:D70"/>
    <mergeCell ref="B71:D71"/>
    <mergeCell ref="B72:D72"/>
    <mergeCell ref="B73:D73"/>
    <mergeCell ref="B74:D74"/>
    <mergeCell ref="B67:D67"/>
    <mergeCell ref="E67:F67"/>
    <mergeCell ref="G67:H67"/>
    <mergeCell ref="I67:K67"/>
    <mergeCell ref="B68:D68"/>
    <mergeCell ref="E68:F68"/>
    <mergeCell ref="G68:H68"/>
    <mergeCell ref="I68:K68"/>
    <mergeCell ref="B61:D61"/>
    <mergeCell ref="I61:K61"/>
    <mergeCell ref="B62:D62"/>
    <mergeCell ref="I62:K62"/>
    <mergeCell ref="B63:D63"/>
    <mergeCell ref="I63:K63"/>
    <mergeCell ref="B58:D58"/>
    <mergeCell ref="I58:K58"/>
    <mergeCell ref="B59:D59"/>
    <mergeCell ref="I59:K59"/>
    <mergeCell ref="B60:D60"/>
    <mergeCell ref="I60:K60"/>
    <mergeCell ref="A42:A43"/>
    <mergeCell ref="B42:C42"/>
    <mergeCell ref="D42:E42"/>
    <mergeCell ref="F42:G42"/>
    <mergeCell ref="H42:I42"/>
    <mergeCell ref="J42:K42"/>
    <mergeCell ref="F34:G34"/>
    <mergeCell ref="H34:I34"/>
    <mergeCell ref="F35:G35"/>
    <mergeCell ref="H35:I35"/>
    <mergeCell ref="F36:G36"/>
    <mergeCell ref="H36:I36"/>
    <mergeCell ref="F31:G31"/>
    <mergeCell ref="H31:I31"/>
    <mergeCell ref="F32:G32"/>
    <mergeCell ref="H32:I32"/>
    <mergeCell ref="F33:G33"/>
    <mergeCell ref="H33:I33"/>
    <mergeCell ref="F28:G28"/>
    <mergeCell ref="H28:I28"/>
    <mergeCell ref="F29:G29"/>
    <mergeCell ref="H29:I29"/>
    <mergeCell ref="F30:G30"/>
    <mergeCell ref="H30:I30"/>
    <mergeCell ref="F25:G25"/>
    <mergeCell ref="H25:I25"/>
    <mergeCell ref="F26:G26"/>
    <mergeCell ref="H26:I26"/>
    <mergeCell ref="F27:G27"/>
    <mergeCell ref="H27:I27"/>
    <mergeCell ref="F23:G23"/>
    <mergeCell ref="H23:I23"/>
    <mergeCell ref="F24:G24"/>
    <mergeCell ref="H24:I24"/>
    <mergeCell ref="F19:G19"/>
    <mergeCell ref="H19:I19"/>
    <mergeCell ref="F20:G20"/>
    <mergeCell ref="H20:I20"/>
    <mergeCell ref="F21:G21"/>
    <mergeCell ref="H21:I21"/>
    <mergeCell ref="F18:G18"/>
    <mergeCell ref="H18:I18"/>
    <mergeCell ref="F13:G13"/>
    <mergeCell ref="H13:I13"/>
    <mergeCell ref="F14:G14"/>
    <mergeCell ref="H14:I14"/>
    <mergeCell ref="F15:G15"/>
    <mergeCell ref="H15:I15"/>
    <mergeCell ref="F22:G22"/>
    <mergeCell ref="H22:I22"/>
    <mergeCell ref="A4:I4"/>
    <mergeCell ref="A5:I5"/>
    <mergeCell ref="A6:I6"/>
    <mergeCell ref="A7:I7"/>
    <mergeCell ref="F12:G12"/>
    <mergeCell ref="H12:I12"/>
    <mergeCell ref="F16:G16"/>
    <mergeCell ref="H16:I16"/>
    <mergeCell ref="F17:G17"/>
    <mergeCell ref="H17:I17"/>
  </mergeCells>
  <pageMargins left="0.51181102362204722" right="0.51181102362204722" top="0.55118110236220474" bottom="0.55118110236220474" header="0.31496062992125984" footer="0.31496062992125984"/>
  <pageSetup paperSize="9" scale="5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6" sqref="A6"/>
    </sheetView>
  </sheetViews>
  <sheetFormatPr defaultRowHeight="12.75"/>
  <cols>
    <col min="1" max="1" width="121.5703125" customWidth="1"/>
  </cols>
  <sheetData>
    <row r="1" spans="1:1" ht="36.75" customHeight="1">
      <c r="A1" s="111" t="s">
        <v>356</v>
      </c>
    </row>
    <row r="2" spans="1:1" ht="36.75" customHeight="1">
      <c r="A2" s="111" t="s">
        <v>357</v>
      </c>
    </row>
    <row r="3" spans="1:1" ht="36.75" customHeight="1">
      <c r="A3" s="111" t="s">
        <v>358</v>
      </c>
    </row>
    <row r="4" spans="1:1" ht="36.75" customHeight="1">
      <c r="A4" s="111" t="s">
        <v>359</v>
      </c>
    </row>
    <row r="5" spans="1:1" ht="36.75" customHeight="1">
      <c r="A5" s="111" t="s">
        <v>360</v>
      </c>
    </row>
    <row r="6" spans="1:1" ht="36.75" customHeight="1">
      <c r="A6" s="111" t="s">
        <v>362</v>
      </c>
    </row>
    <row r="7" spans="1:1" ht="36.75" customHeight="1">
      <c r="A7" s="111" t="s">
        <v>361</v>
      </c>
    </row>
    <row r="8" spans="1:1" ht="18.75">
      <c r="A8" s="240" t="s">
        <v>409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11</vt:i4>
      </vt:variant>
    </vt:vector>
  </HeadingPairs>
  <TitlesOfParts>
    <vt:vector size="20" baseType="lpstr">
      <vt:lpstr>зміни</vt:lpstr>
      <vt:lpstr>Фінплан - зведені показники</vt:lpstr>
      <vt:lpstr>1.Фінансовий результат</vt:lpstr>
      <vt:lpstr>2. Розрахунки з бюджетом</vt:lpstr>
      <vt:lpstr>3. Рух грошових коштів</vt:lpstr>
      <vt:lpstr>4. Кап. інвестиції</vt:lpstr>
      <vt:lpstr>5. Інша інформація</vt:lpstr>
      <vt:lpstr>Лист1</vt:lpstr>
      <vt:lpstr>Лист2</vt:lpstr>
      <vt:lpstr>'1.Фінансовий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зміни!Заголовки_для_печати</vt:lpstr>
      <vt:lpstr>'Фінплан - зведені показники'!Заголовки_для_печати</vt:lpstr>
      <vt:lpstr>'1.Фінансовий результат'!Область_печати</vt:lpstr>
      <vt:lpstr>'2. Розрахунки з бюджетом'!Область_печати</vt:lpstr>
      <vt:lpstr>'4. Кап. інвестиції'!Область_печати</vt:lpstr>
      <vt:lpstr>'5. Інша інформація'!Область_печати</vt:lpstr>
      <vt:lpstr>зміни!Область_печати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Голубченко Анна</cp:lastModifiedBy>
  <cp:lastPrinted>2020-10-13T09:49:37Z</cp:lastPrinted>
  <dcterms:created xsi:type="dcterms:W3CDTF">2003-03-13T16:00:22Z</dcterms:created>
  <dcterms:modified xsi:type="dcterms:W3CDTF">2020-11-04T08:35:08Z</dcterms:modified>
</cp:coreProperties>
</file>